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ng\1_午餐秘書\5_每月菜單\10904\"/>
    </mc:Choice>
  </mc:AlternateContent>
  <xr:revisionPtr revIDLastSave="0" documentId="13_ncr:1_{C5DD73E1-7F49-4F70-ADCA-94E6591015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7週" sheetId="3" r:id="rId1"/>
    <sheet name="第8週" sheetId="1" r:id="rId2"/>
    <sheet name="第9週" sheetId="4" r:id="rId3"/>
    <sheet name="第10週" sheetId="5" r:id="rId4"/>
    <sheet name="熱量計算" sheetId="2" state="hidden" r:id="rId5"/>
  </sheets>
  <definedNames>
    <definedName name="_xlnm.Print_Area" localSheetId="3">第10週!$B$1:$Y$78</definedName>
    <definedName name="_xlnm.Print_Area" localSheetId="0">第7週!$B$1:$Y$79</definedName>
    <definedName name="_xlnm.Print_Area" localSheetId="1">第8週!$B$1:$Y$80</definedName>
    <definedName name="_xlnm.Print_Area" localSheetId="2">第9週!$B$1:$Y$79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I21" i="4"/>
  <c r="G21" i="4"/>
  <c r="G40" i="4" l="1"/>
  <c r="G71" i="4" l="1"/>
  <c r="G13" i="5" l="1"/>
  <c r="G12" i="5"/>
  <c r="G11" i="5"/>
  <c r="I41" i="4" l="1"/>
  <c r="I30" i="4"/>
  <c r="G32" i="4"/>
  <c r="G10" i="3"/>
  <c r="G8" i="3"/>
  <c r="G18" i="3" l="1"/>
  <c r="G63" i="1" l="1"/>
  <c r="G62" i="1"/>
  <c r="G26" i="4" l="1"/>
  <c r="G25" i="4"/>
  <c r="G24" i="4"/>
  <c r="G10" i="4" l="1"/>
  <c r="G8" i="4"/>
  <c r="I18" i="4" l="1"/>
  <c r="G62" i="5" l="1"/>
  <c r="G61" i="5"/>
  <c r="G60" i="5"/>
  <c r="G43" i="3"/>
  <c r="G41" i="5" l="1"/>
  <c r="I25" i="1"/>
  <c r="G27" i="1"/>
  <c r="G26" i="1"/>
  <c r="G25" i="1"/>
  <c r="G21" i="1" l="1"/>
  <c r="G24" i="1" l="1"/>
  <c r="G22" i="1"/>
  <c r="I21" i="1"/>
  <c r="G11" i="3" l="1"/>
  <c r="G12" i="3"/>
  <c r="G32" i="1" l="1"/>
  <c r="G31" i="1"/>
  <c r="G64" i="3" l="1"/>
  <c r="G36" i="3" l="1"/>
  <c r="I34" i="3"/>
  <c r="G35" i="3"/>
  <c r="G19" i="5" l="1"/>
  <c r="G70" i="3"/>
  <c r="G30" i="5"/>
  <c r="G25" i="3"/>
  <c r="G23" i="3" l="1"/>
  <c r="G62" i="3" l="1"/>
  <c r="G61" i="3"/>
  <c r="G26" i="3"/>
  <c r="G24" i="3"/>
  <c r="G18" i="5" l="1"/>
  <c r="G17" i="5"/>
  <c r="G53" i="1"/>
  <c r="G47" i="5" l="1"/>
  <c r="G63" i="4"/>
  <c r="G61" i="4" l="1"/>
  <c r="I36" i="4"/>
  <c r="G36" i="4"/>
  <c r="G13" i="3" l="1"/>
  <c r="G22" i="5"/>
  <c r="I21" i="5"/>
  <c r="G40" i="5" l="1"/>
  <c r="G36" i="5" l="1"/>
  <c r="I35" i="5"/>
  <c r="G35" i="5"/>
  <c r="I34" i="5"/>
  <c r="G34" i="5"/>
  <c r="G19" i="4" l="1"/>
  <c r="G18" i="4"/>
  <c r="I17" i="4"/>
  <c r="G17" i="4"/>
  <c r="G52" i="1" l="1"/>
  <c r="G53" i="3" l="1"/>
  <c r="G52" i="3"/>
  <c r="G51" i="3"/>
  <c r="G50" i="3" l="1"/>
  <c r="G49" i="3"/>
  <c r="I48" i="3"/>
  <c r="G48" i="3"/>
  <c r="G14" i="5" l="1"/>
  <c r="G14" i="4"/>
  <c r="G14" i="1"/>
  <c r="G14" i="3"/>
  <c r="G31" i="5" l="1"/>
  <c r="G58" i="5"/>
  <c r="G57" i="5"/>
  <c r="G56" i="5"/>
  <c r="G35" i="4" l="1"/>
  <c r="G34" i="4"/>
  <c r="G53" i="4" l="1"/>
  <c r="G52" i="4"/>
  <c r="G51" i="4"/>
  <c r="G59" i="4" l="1"/>
  <c r="G58" i="4"/>
  <c r="G33" i="1" l="1"/>
  <c r="G17" i="1" l="1"/>
  <c r="G10" i="1"/>
  <c r="G9" i="1"/>
  <c r="I8" i="1"/>
  <c r="G8" i="1"/>
  <c r="I48" i="4"/>
  <c r="I47" i="4"/>
  <c r="G47" i="4"/>
  <c r="G71" i="5" l="1"/>
  <c r="G70" i="5"/>
  <c r="G69" i="5"/>
  <c r="G65" i="5"/>
  <c r="G64" i="5"/>
  <c r="G63" i="5"/>
  <c r="G52" i="5" l="1"/>
  <c r="G51" i="5"/>
  <c r="G50" i="5"/>
  <c r="G49" i="5"/>
  <c r="G48" i="5"/>
  <c r="I47" i="5"/>
  <c r="G60" i="1"/>
  <c r="G59" i="1"/>
  <c r="G73" i="1" l="1"/>
  <c r="G72" i="1"/>
  <c r="G71" i="1"/>
  <c r="G67" i="1" l="1"/>
  <c r="G66" i="1"/>
  <c r="G65" i="1"/>
  <c r="G36" i="1" l="1"/>
  <c r="G62" i="4"/>
  <c r="I61" i="4"/>
  <c r="G26" i="5" l="1"/>
  <c r="I24" i="5"/>
  <c r="G24" i="5"/>
  <c r="G10" i="5" l="1"/>
  <c r="G9" i="5"/>
  <c r="I8" i="5"/>
  <c r="G8" i="5"/>
  <c r="G66" i="4" l="1"/>
  <c r="G65" i="4"/>
  <c r="G64" i="4"/>
  <c r="I36" i="1" l="1"/>
  <c r="I35" i="1"/>
  <c r="G35" i="1"/>
  <c r="G41" i="3" l="1"/>
  <c r="G42" i="3"/>
  <c r="P34" i="4" l="1"/>
  <c r="P21" i="4"/>
  <c r="P61" i="4" l="1"/>
  <c r="P61" i="3" l="1"/>
  <c r="P48" i="3"/>
  <c r="P21" i="3"/>
  <c r="P8" i="3"/>
  <c r="P47" i="5" l="1"/>
  <c r="P34" i="5"/>
  <c r="P21" i="5"/>
  <c r="P8" i="5"/>
  <c r="P47" i="4" l="1"/>
  <c r="P8" i="4"/>
  <c r="P62" i="1" l="1"/>
  <c r="P49" i="1"/>
  <c r="P35" i="1"/>
  <c r="P21" i="1"/>
  <c r="P8" i="1"/>
  <c r="P34" i="3" l="1"/>
  <c r="B4" i="2" l="1"/>
  <c r="B5" i="2"/>
  <c r="B6" i="2"/>
  <c r="B8" i="2"/>
  <c r="B23" i="2"/>
  <c r="B24" i="2"/>
  <c r="B25" i="2"/>
  <c r="B27" i="2"/>
  <c r="B42" i="2"/>
  <c r="B43" i="2"/>
  <c r="B44" i="2"/>
  <c r="B46" i="2"/>
  <c r="B61" i="2"/>
  <c r="B62" i="2"/>
  <c r="B63" i="2"/>
  <c r="B65" i="2"/>
  <c r="B80" i="2"/>
  <c r="B81" i="2"/>
  <c r="B82" i="2"/>
  <c r="B84" i="2"/>
  <c r="B83" i="2"/>
  <c r="B64" i="2"/>
  <c r="B45" i="2"/>
  <c r="B26" i="2"/>
  <c r="B7" i="2"/>
  <c r="B91" i="2"/>
  <c r="B72" i="2"/>
  <c r="E72" i="2" s="1"/>
  <c r="B53" i="2"/>
  <c r="F53" i="2" s="1"/>
  <c r="B34" i="2"/>
  <c r="B15" i="2"/>
  <c r="E15" i="2" s="1"/>
  <c r="B13" i="2"/>
  <c r="B51" i="2" l="1"/>
  <c r="D51" i="2" s="1"/>
  <c r="B101" i="2"/>
  <c r="B29" i="2"/>
  <c r="F29" i="2" s="1"/>
  <c r="E83" i="2"/>
  <c r="D83" i="2"/>
  <c r="D64" i="2"/>
  <c r="E64" i="2"/>
  <c r="E45" i="2"/>
  <c r="D45" i="2"/>
  <c r="B50" i="2"/>
  <c r="D50" i="2" s="1"/>
  <c r="B49" i="2"/>
  <c r="E49" i="2" s="1"/>
  <c r="B48" i="2"/>
  <c r="D48" i="2" s="1"/>
  <c r="B47" i="2"/>
  <c r="B28" i="2"/>
  <c r="B85" i="2"/>
  <c r="F85" i="2" s="1"/>
  <c r="B66" i="2"/>
  <c r="F66" i="2" s="1"/>
  <c r="B11" i="2"/>
  <c r="D11" i="2" s="1"/>
  <c r="B10" i="2"/>
  <c r="F10" i="2" s="1"/>
  <c r="B9" i="2"/>
  <c r="F9" i="2" s="1"/>
  <c r="D65" i="2"/>
  <c r="F65" i="2"/>
  <c r="B103" i="2"/>
  <c r="D103" i="2" s="1"/>
  <c r="B86" i="2"/>
  <c r="F86" i="2" s="1"/>
  <c r="B71" i="2"/>
  <c r="E71" i="2" s="1"/>
  <c r="B90" i="2"/>
  <c r="E90" i="2" s="1"/>
  <c r="B33" i="2"/>
  <c r="E33" i="2" s="1"/>
  <c r="B67" i="2"/>
  <c r="D67" i="2" s="1"/>
  <c r="D27" i="2"/>
  <c r="F27" i="2"/>
  <c r="E53" i="2"/>
  <c r="D46" i="2"/>
  <c r="F46" i="2"/>
  <c r="D8" i="2"/>
  <c r="F8" i="2"/>
  <c r="E50" i="2"/>
  <c r="D53" i="2"/>
  <c r="F72" i="2"/>
  <c r="B111" i="2"/>
  <c r="E111" i="2" s="1"/>
  <c r="B70" i="2"/>
  <c r="B32" i="2"/>
  <c r="B31" i="2"/>
  <c r="B12" i="2"/>
  <c r="D12" i="2" s="1"/>
  <c r="B89" i="2"/>
  <c r="D89" i="2" s="1"/>
  <c r="B88" i="2"/>
  <c r="D88" i="2" s="1"/>
  <c r="B87" i="2"/>
  <c r="B102" i="2"/>
  <c r="B69" i="2"/>
  <c r="E69" i="2" s="1"/>
  <c r="B68" i="2"/>
  <c r="B52" i="2"/>
  <c r="E52" i="2" s="1"/>
  <c r="B30" i="2"/>
  <c r="B14" i="2"/>
  <c r="E14" i="2" s="1"/>
  <c r="F28" i="2"/>
  <c r="F47" i="2"/>
  <c r="E51" i="2"/>
  <c r="D15" i="2"/>
  <c r="F15" i="2"/>
  <c r="D91" i="2"/>
  <c r="E91" i="2"/>
  <c r="F91" i="2"/>
  <c r="D7" i="2"/>
  <c r="E7" i="2"/>
  <c r="F67" i="2"/>
  <c r="E89" i="2"/>
  <c r="D13" i="2"/>
  <c r="E13" i="2"/>
  <c r="E34" i="2"/>
  <c r="D34" i="2"/>
  <c r="F34" i="2"/>
  <c r="D26" i="2"/>
  <c r="E26" i="2"/>
  <c r="F84" i="2"/>
  <c r="D84" i="2"/>
  <c r="B104" i="2"/>
  <c r="B100" i="2"/>
  <c r="D72" i="2"/>
  <c r="E11" i="2" l="1"/>
  <c r="D111" i="2"/>
  <c r="D49" i="2"/>
  <c r="D29" i="2"/>
  <c r="D69" i="2"/>
  <c r="D10" i="2"/>
  <c r="B108" i="2"/>
  <c r="E31" i="2"/>
  <c r="B73" i="2"/>
  <c r="D31" i="2"/>
  <c r="D86" i="2"/>
  <c r="E88" i="2"/>
  <c r="B110" i="2"/>
  <c r="E110" i="2" s="1"/>
  <c r="B35" i="2"/>
  <c r="B16" i="2"/>
  <c r="B106" i="2"/>
  <c r="F111" i="2"/>
  <c r="B54" i="2"/>
  <c r="B105" i="2"/>
  <c r="F105" i="2" s="1"/>
  <c r="F48" i="2"/>
  <c r="F54" i="2" s="1"/>
  <c r="E68" i="2"/>
  <c r="D54" i="2"/>
  <c r="F73" i="2"/>
  <c r="F92" i="2"/>
  <c r="D16" i="2"/>
  <c r="F16" i="2"/>
  <c r="B92" i="2"/>
  <c r="E12" i="2"/>
  <c r="D68" i="2"/>
  <c r="E103" i="2"/>
  <c r="D30" i="2"/>
  <c r="B107" i="2"/>
  <c r="E30" i="2"/>
  <c r="D70" i="2"/>
  <c r="E70" i="2"/>
  <c r="E73" i="2" s="1"/>
  <c r="E87" i="2"/>
  <c r="D87" i="2"/>
  <c r="D92" i="2" s="1"/>
  <c r="E32" i="2"/>
  <c r="D32" i="2"/>
  <c r="D35" i="2" s="1"/>
  <c r="B109" i="2"/>
  <c r="D108" i="2"/>
  <c r="E108" i="2"/>
  <c r="E54" i="2"/>
  <c r="F35" i="2"/>
  <c r="F104" i="2"/>
  <c r="D104" i="2"/>
  <c r="E16" i="2"/>
  <c r="E92" i="2" l="1"/>
  <c r="F106" i="2"/>
  <c r="F112" i="2" s="1"/>
  <c r="D106" i="2"/>
  <c r="E35" i="2"/>
  <c r="D73" i="2"/>
  <c r="D107" i="2"/>
  <c r="E107" i="2"/>
  <c r="B112" i="2"/>
  <c r="E109" i="2"/>
  <c r="D109" i="2"/>
  <c r="D112" i="2" l="1"/>
  <c r="E112" i="2"/>
</calcChain>
</file>

<file path=xl/sharedStrings.xml><?xml version="1.0" encoding="utf-8"?>
<sst xmlns="http://schemas.openxmlformats.org/spreadsheetml/2006/main" count="890" uniqueCount="428">
  <si>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</si>
  <si>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</si>
  <si>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</si>
  <si>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</si>
  <si>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</si>
  <si>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</si>
  <si>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</si>
  <si>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</si>
  <si>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</si>
  <si>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</si>
  <si>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</si>
  <si>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</si>
  <si>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</si>
  <si>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</si>
  <si>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</si>
  <si>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</si>
  <si>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</si>
  <si>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</si>
  <si>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</si>
  <si>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</si>
  <si>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</si>
  <si>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</si>
  <si>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t>一</t>
    <phoneticPr fontId="3" type="noConversion"/>
  </si>
  <si>
    <t>養樂多</t>
    <phoneticPr fontId="3" type="noConversion"/>
  </si>
  <si>
    <t xml:space="preserve"> </t>
    <phoneticPr fontId="3" type="noConversion"/>
  </si>
  <si>
    <t>肉圓</t>
    <phoneticPr fontId="3" type="noConversion"/>
  </si>
  <si>
    <t>肉園</t>
    <phoneticPr fontId="3" type="noConversion"/>
  </si>
  <si>
    <t>650~780</t>
    <phoneticPr fontId="3" type="noConversion"/>
  </si>
  <si>
    <t>19~25</t>
    <phoneticPr fontId="3" type="noConversion"/>
  </si>
  <si>
    <t>20~28</t>
    <phoneticPr fontId="3" type="noConversion"/>
  </si>
  <si>
    <t>98~115</t>
    <phoneticPr fontId="3" type="noConversion"/>
  </si>
  <si>
    <t>二</t>
    <phoneticPr fontId="3" type="noConversion"/>
  </si>
  <si>
    <t>全脂牛奶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</si>
  <si>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</si>
  <si>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</si>
  <si>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</si>
  <si>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平均</t>
    <phoneticPr fontId="3" type="noConversion"/>
  </si>
  <si>
    <r>
      <rPr>
        <b/>
        <sz val="14"/>
        <rFont val="標楷體"/>
        <family val="4"/>
        <charset val="136"/>
      </rPr>
      <t>午餐執行秘書</t>
    </r>
  </si>
  <si>
    <r>
      <rPr>
        <sz val="11"/>
        <rFont val="標楷體"/>
        <family val="4"/>
        <charset val="136"/>
      </rPr>
      <t>本月用餐天數</t>
    </r>
    <phoneticPr fontId="3" type="noConversion"/>
  </si>
  <si>
    <r>
      <rPr>
        <b/>
        <sz val="11"/>
        <rFont val="標楷體"/>
        <family val="4"/>
        <charset val="136"/>
      </rPr>
      <t>學童營養午餐食譜設計表</t>
    </r>
    <phoneticPr fontId="3" type="noConversion"/>
  </si>
  <si>
    <r>
      <rPr>
        <sz val="11"/>
        <rFont val="標楷體"/>
        <family val="4"/>
        <charset val="136"/>
      </rPr>
      <t>本週用餐天數</t>
    </r>
    <phoneticPr fontId="3" type="noConversion"/>
  </si>
  <si>
    <r>
      <rPr>
        <sz val="12"/>
        <rFont val="標楷體"/>
        <family val="4"/>
        <charset val="136"/>
      </rPr>
      <t>四</t>
    </r>
    <phoneticPr fontId="3" type="noConversion"/>
  </si>
  <si>
    <r>
      <rPr>
        <b/>
        <sz val="12"/>
        <rFont val="標楷體"/>
        <family val="4"/>
        <charset val="136"/>
      </rPr>
      <t>小朋友要多吃飯才健康喔</t>
    </r>
    <r>
      <rPr>
        <b/>
        <sz val="12"/>
        <rFont val="Book Antiqua"/>
        <family val="1"/>
      </rPr>
      <t>!</t>
    </r>
    <phoneticPr fontId="3" type="noConversion"/>
  </si>
  <si>
    <r>
      <rPr>
        <b/>
        <sz val="14"/>
        <rFont val="標楷體"/>
        <family val="4"/>
        <charset val="136"/>
      </rPr>
      <t>供應商營養師</t>
    </r>
    <r>
      <rPr>
        <b/>
        <sz val="14"/>
        <rFont val="Book Antiqua"/>
        <family val="1"/>
      </rPr>
      <t>:</t>
    </r>
    <r>
      <rPr>
        <b/>
        <sz val="14"/>
        <rFont val="標楷體"/>
        <family val="4"/>
        <charset val="136"/>
      </rPr>
      <t>王子瑄</t>
    </r>
    <phoneticPr fontId="3" type="noConversion"/>
  </si>
  <si>
    <r>
      <rPr>
        <b/>
        <sz val="16"/>
        <rFont val="標楷體"/>
        <family val="4"/>
        <charset val="136"/>
      </rPr>
      <t>校</t>
    </r>
    <r>
      <rPr>
        <b/>
        <sz val="16"/>
        <rFont val="Book Antiqua"/>
        <family val="1"/>
      </rPr>
      <t xml:space="preserve">  </t>
    </r>
    <r>
      <rPr>
        <b/>
        <sz val="16"/>
        <rFont val="標楷體"/>
        <family val="4"/>
        <charset val="136"/>
      </rPr>
      <t>長</t>
    </r>
    <phoneticPr fontId="3" type="noConversion"/>
  </si>
  <si>
    <r>
      <rPr>
        <sz val="12"/>
        <rFont val="標楷體"/>
        <family val="4"/>
        <charset val="136"/>
      </rPr>
      <t>本月用餐天數</t>
    </r>
    <phoneticPr fontId="3" type="noConversion"/>
  </si>
  <si>
    <r>
      <rPr>
        <b/>
        <sz val="12"/>
        <rFont val="標楷體"/>
        <family val="4"/>
        <charset val="136"/>
      </rPr>
      <t>學童營養午餐食譜設計表</t>
    </r>
    <phoneticPr fontId="3" type="noConversion"/>
  </si>
  <si>
    <r>
      <rPr>
        <sz val="12"/>
        <rFont val="標楷體"/>
        <family val="4"/>
        <charset val="136"/>
      </rPr>
      <t>本週用餐天數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</si>
  <si>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</si>
  <si>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2"/>
        <rFont val="標楷體"/>
        <family val="4"/>
        <charset val="136"/>
      </rPr>
      <t>三</t>
    </r>
    <phoneticPr fontId="3" type="noConversion"/>
  </si>
  <si>
    <t>材料</t>
  </si>
  <si>
    <r>
      <rPr>
        <sz val="12"/>
        <rFont val="標楷體"/>
        <family val="4"/>
        <charset val="136"/>
      </rPr>
      <t>星期</t>
    </r>
    <phoneticPr fontId="3" type="noConversion"/>
  </si>
  <si>
    <r>
      <rPr>
        <sz val="12"/>
        <rFont val="標楷體"/>
        <family val="4"/>
        <charset val="136"/>
      </rPr>
      <t>主食</t>
    </r>
    <phoneticPr fontId="3" type="noConversion"/>
  </si>
  <si>
    <r>
      <rPr>
        <sz val="12"/>
        <rFont val="標楷體"/>
        <family val="4"/>
        <charset val="136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  <charset val="136"/>
      </rPr>
      <t>餚</t>
    </r>
    <phoneticPr fontId="3" type="noConversion"/>
  </si>
  <si>
    <r>
      <rPr>
        <sz val="12"/>
        <rFont val="標楷體"/>
        <family val="4"/>
        <charset val="136"/>
      </rPr>
      <t>供應量</t>
    </r>
    <phoneticPr fontId="3" type="noConversion"/>
  </si>
  <si>
    <r>
      <rPr>
        <sz val="12"/>
        <rFont val="標楷體"/>
        <family val="4"/>
        <charset val="136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  <charset val="136"/>
      </rPr>
      <t>歡</t>
    </r>
    <r>
      <rPr>
        <sz val="12"/>
        <rFont val="Book Antiqua"/>
        <family val="1"/>
      </rPr>
      <t xml:space="preserve">  ?</t>
    </r>
    <phoneticPr fontId="3" type="noConversion"/>
  </si>
  <si>
    <r>
      <rPr>
        <sz val="12"/>
        <rFont val="標楷體"/>
        <family val="4"/>
        <charset val="136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  <charset val="136"/>
      </rPr>
      <t>註</t>
    </r>
    <phoneticPr fontId="3" type="noConversion"/>
  </si>
  <si>
    <r>
      <rPr>
        <sz val="12"/>
        <rFont val="標楷體"/>
        <family val="4"/>
        <charset val="136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  <charset val="136"/>
      </rPr>
      <t>名</t>
    </r>
    <phoneticPr fontId="3" type="noConversion"/>
  </si>
  <si>
    <r>
      <rPr>
        <sz val="12"/>
        <rFont val="標楷體"/>
        <family val="4"/>
        <charset val="136"/>
      </rPr>
      <t>材料</t>
    </r>
  </si>
  <si>
    <r>
      <rPr>
        <sz val="12"/>
        <rFont val="標楷體"/>
        <family val="4"/>
        <charset val="136"/>
      </rPr>
      <t>公斤重</t>
    </r>
    <phoneticPr fontId="3" type="noConversion"/>
  </si>
  <si>
    <r>
      <rPr>
        <sz val="12"/>
        <rFont val="標楷體"/>
        <family val="4"/>
        <charset val="136"/>
      </rPr>
      <t>食物份數</t>
    </r>
    <phoneticPr fontId="3" type="noConversion"/>
  </si>
  <si>
    <r>
      <rPr>
        <sz val="12"/>
        <rFont val="標楷體"/>
        <family val="4"/>
        <charset val="136"/>
      </rPr>
      <t>過多</t>
    </r>
    <phoneticPr fontId="3" type="noConversion"/>
  </si>
  <si>
    <r>
      <rPr>
        <sz val="12"/>
        <rFont val="標楷體"/>
        <family val="4"/>
        <charset val="136"/>
      </rPr>
      <t>剛好</t>
    </r>
    <phoneticPr fontId="3" type="noConversion"/>
  </si>
  <si>
    <r>
      <rPr>
        <sz val="12"/>
        <rFont val="標楷體"/>
        <family val="4"/>
        <charset val="136"/>
      </rPr>
      <t>不足</t>
    </r>
    <phoneticPr fontId="3" type="noConversion"/>
  </si>
  <si>
    <r>
      <rPr>
        <sz val="12"/>
        <rFont val="標楷體"/>
        <family val="4"/>
        <charset val="136"/>
      </rPr>
      <t>很喜歡</t>
    </r>
    <phoneticPr fontId="3" type="noConversion"/>
  </si>
  <si>
    <r>
      <rPr>
        <sz val="12"/>
        <rFont val="標楷體"/>
        <family val="4"/>
        <charset val="136"/>
      </rPr>
      <t>一</t>
    </r>
    <phoneticPr fontId="3" type="noConversion"/>
  </si>
  <si>
    <r>
      <rPr>
        <b/>
        <sz val="12"/>
        <color indexed="10"/>
        <rFont val="標楷體"/>
        <family val="4"/>
        <charset val="136"/>
      </rPr>
      <t>老師的叮嚀</t>
    </r>
  </si>
  <si>
    <r>
      <rPr>
        <sz val="12"/>
        <color indexed="16"/>
        <rFont val="標楷體"/>
        <family val="4"/>
        <charset val="136"/>
      </rPr>
      <t>蕃茄紅素是使蕃茄呈現紅色的天然色素，也是重要的抗氧化物，可以消除體內的自由基及保護心血管。</t>
    </r>
    <phoneticPr fontId="3" type="noConversion"/>
  </si>
  <si>
    <r>
      <rPr>
        <b/>
        <sz val="12"/>
        <color indexed="10"/>
        <rFont val="標楷體"/>
        <family val="4"/>
        <charset val="136"/>
      </rPr>
      <t>老師的叮嚀</t>
    </r>
    <phoneticPr fontId="3" type="noConversion"/>
  </si>
  <si>
    <r>
      <rPr>
        <sz val="12"/>
        <color indexed="16"/>
        <rFont val="標楷體"/>
        <family val="4"/>
        <charset val="136"/>
      </rPr>
      <t>大黃瓜含有相當豐富的鉀，能加速血液新陳代謝，經常食用可增進肌肉組織的生長發育。</t>
    </r>
    <phoneticPr fontId="3" type="noConversion"/>
  </si>
  <si>
    <r>
      <rPr>
        <sz val="12"/>
        <rFont val="標楷體"/>
        <family val="4"/>
        <charset val="136"/>
      </rPr>
      <t>五</t>
    </r>
    <phoneticPr fontId="3" type="noConversion"/>
  </si>
  <si>
    <r>
      <rPr>
        <b/>
        <sz val="12"/>
        <color indexed="10"/>
        <rFont val="標楷體"/>
        <family val="4"/>
        <charset val="136"/>
      </rPr>
      <t>營養標準參照</t>
    </r>
    <phoneticPr fontId="3" type="noConversion"/>
  </si>
  <si>
    <r>
      <rPr>
        <b/>
        <sz val="12"/>
        <color indexed="10"/>
        <rFont val="標楷體"/>
        <family val="4"/>
        <charset val="136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  <charset val="136"/>
      </rPr>
      <t>國民健康署「每日飲食指南」</t>
    </r>
    <phoneticPr fontId="3" type="noConversion"/>
  </si>
  <si>
    <r>
      <rPr>
        <sz val="12"/>
        <rFont val="標楷體"/>
        <family val="4"/>
        <charset val="136"/>
      </rPr>
      <t>喜歡</t>
    </r>
    <phoneticPr fontId="3" type="noConversion"/>
  </si>
  <si>
    <r>
      <rPr>
        <sz val="12"/>
        <rFont val="標楷體"/>
        <family val="4"/>
        <charset val="136"/>
      </rPr>
      <t>尚可</t>
    </r>
    <phoneticPr fontId="3" type="noConversion"/>
  </si>
  <si>
    <r>
      <rPr>
        <sz val="12"/>
        <rFont val="標楷體"/>
        <family val="4"/>
        <charset val="136"/>
      </rPr>
      <t>討厭</t>
    </r>
    <phoneticPr fontId="3" type="noConversion"/>
  </si>
  <si>
    <r>
      <rPr>
        <sz val="12"/>
        <rFont val="標楷體"/>
        <family val="4"/>
        <charset val="136"/>
      </rPr>
      <t>很討厭</t>
    </r>
    <phoneticPr fontId="3" type="noConversion"/>
  </si>
  <si>
    <r>
      <rPr>
        <sz val="12"/>
        <rFont val="標楷體"/>
        <family val="4"/>
        <charset val="136"/>
      </rPr>
      <t>全榖根莖類</t>
    </r>
    <phoneticPr fontId="3" type="noConversion"/>
  </si>
  <si>
    <r>
      <rPr>
        <sz val="12"/>
        <rFont val="標楷體"/>
        <family val="4"/>
        <charset val="136"/>
      </rPr>
      <t>豆魚肉蛋類</t>
    </r>
    <phoneticPr fontId="3" type="noConversion"/>
  </si>
  <si>
    <r>
      <rPr>
        <sz val="12"/>
        <rFont val="標楷體"/>
        <family val="4"/>
        <charset val="136"/>
      </rPr>
      <t>低脂乳品類</t>
    </r>
    <phoneticPr fontId="3" type="noConversion"/>
  </si>
  <si>
    <r>
      <rPr>
        <sz val="12"/>
        <rFont val="標楷體"/>
        <family val="4"/>
        <charset val="136"/>
      </rPr>
      <t>蔬菜類</t>
    </r>
    <phoneticPr fontId="3" type="noConversion"/>
  </si>
  <si>
    <r>
      <rPr>
        <sz val="12"/>
        <rFont val="標楷體"/>
        <family val="4"/>
        <charset val="136"/>
      </rPr>
      <t>水果類</t>
    </r>
    <phoneticPr fontId="3" type="noConversion"/>
  </si>
  <si>
    <r>
      <rPr>
        <sz val="7"/>
        <rFont val="標楷體"/>
        <family val="4"/>
        <charset val="136"/>
      </rPr>
      <t>果種子類油脂與堅</t>
    </r>
    <phoneticPr fontId="3" type="noConversion"/>
  </si>
  <si>
    <r>
      <rPr>
        <sz val="12"/>
        <rFont val="標楷體"/>
        <family val="4"/>
        <charset val="136"/>
      </rPr>
      <t>熱量</t>
    </r>
    <phoneticPr fontId="3" type="noConversion"/>
  </si>
  <si>
    <r>
      <rPr>
        <sz val="12"/>
        <rFont val="標楷體"/>
        <family val="4"/>
        <charset val="136"/>
      </rPr>
      <t>一</t>
    </r>
    <phoneticPr fontId="3" type="noConversion"/>
  </si>
  <si>
    <r>
      <rPr>
        <sz val="12"/>
        <color indexed="16"/>
        <rFont val="標楷體"/>
        <family val="4"/>
        <charset val="136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  <charset val="136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  <charset val="136"/>
      </rPr>
      <t>，亦可幫助傷口癒合及所含的纖維素能促進腸胃蠕動幫助消化。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</si>
  <si>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</si>
  <si>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2"/>
        <rFont val="標楷體"/>
        <family val="4"/>
        <charset val="136"/>
      </rPr>
      <t>三</t>
    </r>
    <phoneticPr fontId="3" type="noConversion"/>
  </si>
  <si>
    <r>
      <rPr>
        <sz val="12"/>
        <rFont val="標楷體"/>
        <family val="4"/>
        <charset val="136"/>
      </rPr>
      <t>四</t>
    </r>
    <phoneticPr fontId="3" type="noConversion"/>
  </si>
  <si>
    <t xml:space="preserve">   </t>
  </si>
  <si>
    <r>
      <rPr>
        <b/>
        <sz val="12"/>
        <color indexed="10"/>
        <rFont val="標楷體"/>
        <family val="4"/>
        <charset val="136"/>
      </rPr>
      <t>老師的叮嚀</t>
    </r>
    <phoneticPr fontId="3" type="noConversion"/>
  </si>
  <si>
    <r>
      <rPr>
        <sz val="12"/>
        <color indexed="16"/>
        <rFont val="標楷體"/>
        <family val="4"/>
        <charset val="136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  <charset val="136"/>
      </rPr>
      <t>和卵磷脂等，能健腦益智，對於發育中的兒童，是補充營養的良好食材。</t>
    </r>
    <phoneticPr fontId="3" type="noConversion"/>
  </si>
  <si>
    <r>
      <rPr>
        <sz val="12"/>
        <rFont val="標楷體"/>
        <family val="4"/>
        <charset val="136"/>
      </rPr>
      <t>五</t>
    </r>
    <phoneticPr fontId="3" type="noConversion"/>
  </si>
  <si>
    <r>
      <rPr>
        <b/>
        <sz val="12"/>
        <color indexed="10"/>
        <rFont val="標楷體"/>
        <family val="4"/>
        <charset val="136"/>
      </rPr>
      <t>營養標準參照</t>
    </r>
    <phoneticPr fontId="3" type="noConversion"/>
  </si>
  <si>
    <r>
      <rPr>
        <b/>
        <sz val="12"/>
        <color indexed="10"/>
        <rFont val="標楷體"/>
        <family val="4"/>
        <charset val="136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  <charset val="136"/>
      </rPr>
      <t>國民健康署「每日飲食指南」</t>
    </r>
    <phoneticPr fontId="3" type="noConversion"/>
  </si>
  <si>
    <t>日期</t>
    <phoneticPr fontId="3" type="noConversion"/>
  </si>
  <si>
    <t>星期</t>
    <phoneticPr fontId="3" type="noConversion"/>
  </si>
  <si>
    <t>主食</t>
    <phoneticPr fontId="3" type="noConversion"/>
  </si>
  <si>
    <t>菜                    餚</t>
    <phoneticPr fontId="3" type="noConversion"/>
  </si>
  <si>
    <t>供應量</t>
    <phoneticPr fontId="3" type="noConversion"/>
  </si>
  <si>
    <t>喜  歡  ?</t>
    <phoneticPr fontId="3" type="noConversion"/>
  </si>
  <si>
    <t>備  註</t>
    <phoneticPr fontId="3" type="noConversion"/>
  </si>
  <si>
    <t>菜    名</t>
    <phoneticPr fontId="3" type="noConversion"/>
  </si>
  <si>
    <t>公斤重</t>
    <phoneticPr fontId="3" type="noConversion"/>
  </si>
  <si>
    <t>食物份數</t>
    <phoneticPr fontId="3" type="noConversion"/>
  </si>
  <si>
    <t>過多</t>
    <phoneticPr fontId="3" type="noConversion"/>
  </si>
  <si>
    <t>剛好</t>
    <phoneticPr fontId="3" type="noConversion"/>
  </si>
  <si>
    <t>不足</t>
    <phoneticPr fontId="3" type="noConversion"/>
  </si>
  <si>
    <t>很喜歡</t>
    <phoneticPr fontId="3" type="noConversion"/>
  </si>
  <si>
    <t>喜歡</t>
    <phoneticPr fontId="3" type="noConversion"/>
  </si>
  <si>
    <t>尚可</t>
    <phoneticPr fontId="3" type="noConversion"/>
  </si>
  <si>
    <t>討厭</t>
    <phoneticPr fontId="3" type="noConversion"/>
  </si>
  <si>
    <t>很討厭</t>
    <phoneticPr fontId="3" type="noConversion"/>
  </si>
  <si>
    <t>全榖根莖類</t>
    <phoneticPr fontId="3" type="noConversion"/>
  </si>
  <si>
    <t>豆魚肉蛋類</t>
    <phoneticPr fontId="3" type="noConversion"/>
  </si>
  <si>
    <t>低脂乳品類</t>
    <phoneticPr fontId="3" type="noConversion"/>
  </si>
  <si>
    <t>蔬菜類</t>
    <phoneticPr fontId="3" type="noConversion"/>
  </si>
  <si>
    <t>水果類</t>
    <phoneticPr fontId="3" type="noConversion"/>
  </si>
  <si>
    <t>果種子類油脂與堅</t>
    <phoneticPr fontId="3" type="noConversion"/>
  </si>
  <si>
    <t>熱量</t>
    <phoneticPr fontId="3" type="noConversion"/>
  </si>
  <si>
    <t>一</t>
    <phoneticPr fontId="3" type="noConversion"/>
  </si>
  <si>
    <t>蒜粗</t>
  </si>
  <si>
    <t>老師的叮嚀</t>
  </si>
  <si>
    <t>二</t>
    <phoneticPr fontId="3" type="noConversion"/>
  </si>
  <si>
    <t>三</t>
    <phoneticPr fontId="3" type="noConversion"/>
  </si>
  <si>
    <t>水果含有豐富的維生素C、維生素A以及人體必需的各種礦物質，可以促進健康、增強孩子的免疫力</t>
  </si>
  <si>
    <t>四</t>
    <phoneticPr fontId="3" type="noConversion"/>
  </si>
  <si>
    <t xml:space="preserve"> </t>
  </si>
  <si>
    <t>老師的叮嚀</t>
    <phoneticPr fontId="3" type="noConversion"/>
  </si>
  <si>
    <t>五</t>
    <phoneticPr fontId="3" type="noConversion"/>
  </si>
  <si>
    <t>日期</t>
    <phoneticPr fontId="3" type="noConversion"/>
  </si>
  <si>
    <t>紅蘿蔔</t>
  </si>
  <si>
    <t>黑木耳</t>
  </si>
  <si>
    <t>時蔬</t>
  </si>
  <si>
    <t>玉米濃湯</t>
    <phoneticPr fontId="3" type="noConversion"/>
  </si>
  <si>
    <t>冷凍玉米粒</t>
    <phoneticPr fontId="3" type="noConversion"/>
  </si>
  <si>
    <t>玉米醬</t>
    <phoneticPr fontId="3" type="noConversion"/>
  </si>
  <si>
    <t>鮮奶油</t>
    <phoneticPr fontId="3" type="noConversion"/>
  </si>
  <si>
    <t>雞蛋</t>
    <phoneticPr fontId="3" type="noConversion"/>
  </si>
  <si>
    <t>雞肉含優質蛋白質、脂肪含量少，能增強體力、強壯身體，是體質虛弱、病後、產後以及老年人適合攝取蛋白質的來源。</t>
    <phoneticPr fontId="3" type="noConversion"/>
  </si>
  <si>
    <t>白飯</t>
    <phoneticPr fontId="3" type="noConversion"/>
  </si>
  <si>
    <r>
      <t>108</t>
    </r>
    <r>
      <rPr>
        <b/>
        <sz val="11"/>
        <rFont val="標楷體"/>
        <family val="4"/>
        <charset val="136"/>
      </rPr>
      <t>學年度第2學期第7週</t>
    </r>
    <phoneticPr fontId="3" type="noConversion"/>
  </si>
  <si>
    <r>
      <t>108</t>
    </r>
    <r>
      <rPr>
        <b/>
        <sz val="12"/>
        <rFont val="標楷體"/>
        <family val="4"/>
        <charset val="136"/>
      </rPr>
      <t>學年度第2學期第8週</t>
    </r>
    <phoneticPr fontId="3" type="noConversion"/>
  </si>
  <si>
    <r>
      <t>108</t>
    </r>
    <r>
      <rPr>
        <b/>
        <sz val="12"/>
        <rFont val="標楷體"/>
        <family val="4"/>
        <charset val="136"/>
      </rPr>
      <t>學年度第2學期第9週</t>
    </r>
    <phoneticPr fontId="3" type="noConversion"/>
  </si>
  <si>
    <r>
      <t>108</t>
    </r>
    <r>
      <rPr>
        <b/>
        <sz val="12"/>
        <rFont val="標楷體"/>
        <family val="4"/>
        <charset val="136"/>
      </rPr>
      <t>學年度第2學期第10週</t>
    </r>
    <phoneticPr fontId="3" type="noConversion"/>
  </si>
  <si>
    <t>4/1</t>
    <phoneticPr fontId="3" type="noConversion"/>
  </si>
  <si>
    <t>雞腿丁</t>
  </si>
  <si>
    <t>大骨</t>
    <phoneticPr fontId="3" type="noConversion"/>
  </si>
  <si>
    <r>
      <rPr>
        <sz val="11"/>
        <rFont val="標楷體"/>
        <family val="4"/>
        <charset val="136"/>
      </rPr>
      <t>大黃瓜</t>
    </r>
    <phoneticPr fontId="3" type="noConversion"/>
  </si>
  <si>
    <t>紅蘿蔔</t>
    <phoneticPr fontId="3" type="noConversion"/>
  </si>
  <si>
    <t>紅絲高麗</t>
    <phoneticPr fontId="3" type="noConversion"/>
  </si>
  <si>
    <t>高麗菜</t>
    <phoneticPr fontId="3" type="noConversion"/>
  </si>
  <si>
    <t>蒜粗</t>
    <phoneticPr fontId="3" type="noConversion"/>
  </si>
  <si>
    <r>
      <rPr>
        <sz val="11"/>
        <rFont val="標楷體"/>
        <family val="4"/>
        <charset val="136"/>
      </rPr>
      <t>小貢丸</t>
    </r>
    <phoneticPr fontId="3" type="noConversion"/>
  </si>
  <si>
    <r>
      <rPr>
        <sz val="11"/>
        <rFont val="標楷體"/>
        <family val="4"/>
        <charset val="136"/>
      </rPr>
      <t>白蘿蔔</t>
    </r>
    <phoneticPr fontId="3" type="noConversion"/>
  </si>
  <si>
    <t>黑木耳</t>
    <phoneticPr fontId="3" type="noConversion"/>
  </si>
  <si>
    <t>雞蛋</t>
  </si>
  <si>
    <t>青蔥</t>
  </si>
  <si>
    <t>板豆腐</t>
  </si>
  <si>
    <t>番茄</t>
  </si>
  <si>
    <t>大白菜</t>
  </si>
  <si>
    <t>銀絲捲</t>
    <phoneticPr fontId="3" type="noConversion"/>
  </si>
  <si>
    <t>雞腿丁</t>
    <phoneticPr fontId="3" type="noConversion"/>
  </si>
  <si>
    <t>三絲銀芽</t>
    <phoneticPr fontId="3" type="noConversion"/>
  </si>
  <si>
    <r>
      <rPr>
        <sz val="11"/>
        <rFont val="標楷體"/>
        <family val="4"/>
        <charset val="136"/>
      </rPr>
      <t>綠豆芽</t>
    </r>
    <phoneticPr fontId="3" type="noConversion"/>
  </si>
  <si>
    <r>
      <rPr>
        <sz val="11"/>
        <rFont val="標楷體"/>
        <family val="4"/>
        <charset val="136"/>
      </rPr>
      <t>小黃瓜</t>
    </r>
    <phoneticPr fontId="3" type="noConversion"/>
  </si>
  <si>
    <r>
      <rPr>
        <sz val="12"/>
        <rFont val="標楷體"/>
        <family val="4"/>
        <charset val="136"/>
      </rPr>
      <t>雞蛋</t>
    </r>
  </si>
  <si>
    <r>
      <rPr>
        <sz val="12"/>
        <rFont val="標楷體"/>
        <family val="4"/>
        <charset val="136"/>
      </rPr>
      <t>板豆腐</t>
    </r>
  </si>
  <si>
    <r>
      <rPr>
        <sz val="12"/>
        <rFont val="標楷體"/>
        <family val="4"/>
        <charset val="136"/>
      </rPr>
      <t>雞蛋</t>
    </r>
    <phoneticPr fontId="3" type="noConversion"/>
  </si>
  <si>
    <t>金黃高麗</t>
    <phoneticPr fontId="3" type="noConversion"/>
  </si>
  <si>
    <t>高麗菜</t>
    <phoneticPr fontId="3" type="noConversion"/>
  </si>
  <si>
    <t>冷凍玉米粒</t>
    <phoneticPr fontId="3" type="noConversion"/>
  </si>
  <si>
    <t>蒜粗</t>
    <phoneticPr fontId="3" type="noConversion"/>
  </si>
  <si>
    <r>
      <rPr>
        <sz val="12"/>
        <rFont val="標楷體"/>
        <family val="4"/>
        <charset val="136"/>
      </rPr>
      <t>紫菜蛋花湯</t>
    </r>
    <phoneticPr fontId="3" type="noConversion"/>
  </si>
  <si>
    <r>
      <rPr>
        <sz val="12"/>
        <rFont val="標楷體"/>
        <family val="4"/>
        <charset val="136"/>
      </rPr>
      <t>紫菜</t>
    </r>
    <phoneticPr fontId="3" type="noConversion"/>
  </si>
  <si>
    <t>成都子雞</t>
    <phoneticPr fontId="3" type="noConversion"/>
  </si>
  <si>
    <r>
      <rPr>
        <sz val="11"/>
        <color indexed="8"/>
        <rFont val="標楷體"/>
        <family val="4"/>
        <charset val="136"/>
      </rPr>
      <t>雞腿丁</t>
    </r>
    <phoneticPr fontId="3" type="noConversion"/>
  </si>
  <si>
    <r>
      <rPr>
        <sz val="11"/>
        <color indexed="8"/>
        <rFont val="標楷體"/>
        <family val="4"/>
        <charset val="136"/>
      </rPr>
      <t>薑末</t>
    </r>
    <phoneticPr fontId="3" type="noConversion"/>
  </si>
  <si>
    <r>
      <rPr>
        <sz val="11"/>
        <rFont val="標楷體"/>
        <family val="4"/>
        <charset val="136"/>
      </rPr>
      <t>青椒</t>
    </r>
    <phoneticPr fontId="3" type="noConversion"/>
  </si>
  <si>
    <r>
      <rPr>
        <sz val="11"/>
        <color indexed="8"/>
        <rFont val="標楷體"/>
        <family val="4"/>
        <charset val="136"/>
      </rPr>
      <t>甜麵醬</t>
    </r>
    <phoneticPr fontId="3" type="noConversion"/>
  </si>
  <si>
    <r>
      <t>1</t>
    </r>
    <r>
      <rPr>
        <sz val="11"/>
        <color indexed="8"/>
        <rFont val="標楷體"/>
        <family val="4"/>
        <charset val="136"/>
      </rPr>
      <t>盒</t>
    </r>
    <phoneticPr fontId="3" type="noConversion"/>
  </si>
  <si>
    <r>
      <rPr>
        <sz val="11"/>
        <rFont val="標楷體"/>
        <family val="4"/>
        <charset val="136"/>
      </rPr>
      <t>紅蘿蔔</t>
    </r>
    <phoneticPr fontId="3" type="noConversion"/>
  </si>
  <si>
    <t>綠豆芽</t>
    <phoneticPr fontId="3" type="noConversion"/>
  </si>
  <si>
    <r>
      <rPr>
        <sz val="11"/>
        <rFont val="標楷體"/>
        <family val="4"/>
        <charset val="136"/>
      </rPr>
      <t>生豆包</t>
    </r>
    <phoneticPr fontId="3" type="noConversion"/>
  </si>
  <si>
    <t>黃芽炒豆包</t>
    <phoneticPr fontId="3" type="noConversion"/>
  </si>
  <si>
    <r>
      <rPr>
        <sz val="11"/>
        <color indexed="8"/>
        <rFont val="標楷體"/>
        <family val="4"/>
        <charset val="136"/>
      </rPr>
      <t>豆乾片</t>
    </r>
    <phoneticPr fontId="3" type="noConversion"/>
  </si>
  <si>
    <r>
      <rPr>
        <sz val="11"/>
        <color indexed="8"/>
        <rFont val="標楷體"/>
        <family val="4"/>
        <charset val="136"/>
      </rPr>
      <t>蒜末</t>
    </r>
    <phoneticPr fontId="3" type="noConversion"/>
  </si>
  <si>
    <r>
      <rPr>
        <sz val="11"/>
        <rFont val="標楷體"/>
        <family val="4"/>
        <charset val="136"/>
      </rPr>
      <t>油花生</t>
    </r>
    <phoneticPr fontId="3" type="noConversion"/>
  </si>
  <si>
    <t>大頭菜湯</t>
    <phoneticPr fontId="3" type="noConversion"/>
  </si>
  <si>
    <r>
      <rPr>
        <sz val="12"/>
        <rFont val="標楷體"/>
        <family val="4"/>
        <charset val="136"/>
      </rPr>
      <t>大頭菜</t>
    </r>
    <phoneticPr fontId="3" type="noConversion"/>
  </si>
  <si>
    <t>香菜</t>
    <phoneticPr fontId="3" type="noConversion"/>
  </si>
  <si>
    <r>
      <rPr>
        <sz val="11"/>
        <rFont val="標楷體"/>
        <family val="4"/>
        <charset val="136"/>
      </rPr>
      <t>冬瓜</t>
    </r>
    <phoneticPr fontId="3" type="noConversion"/>
  </si>
  <si>
    <r>
      <rPr>
        <sz val="11"/>
        <rFont val="標楷體"/>
        <family val="4"/>
        <charset val="136"/>
      </rPr>
      <t>薑絲</t>
    </r>
    <phoneticPr fontId="3" type="noConversion"/>
  </si>
  <si>
    <r>
      <rPr>
        <sz val="11"/>
        <rFont val="標楷體"/>
        <family val="4"/>
        <charset val="136"/>
      </rPr>
      <t>雞架</t>
    </r>
    <phoneticPr fontId="3" type="noConversion"/>
  </si>
  <si>
    <r>
      <rPr>
        <sz val="12"/>
        <rFont val="標楷體"/>
        <family val="4"/>
        <charset val="136"/>
      </rPr>
      <t>白菜豆腐湯</t>
    </r>
    <phoneticPr fontId="3" type="noConversion"/>
  </si>
  <si>
    <r>
      <rPr>
        <sz val="12"/>
        <rFont val="標楷體"/>
        <family val="4"/>
        <charset val="136"/>
      </rPr>
      <t>板豆腐</t>
    </r>
    <phoneticPr fontId="3" type="noConversion"/>
  </si>
  <si>
    <r>
      <rPr>
        <sz val="12"/>
        <rFont val="標楷體"/>
        <family val="4"/>
        <charset val="136"/>
      </rPr>
      <t>紅蘿蔔</t>
    </r>
    <phoneticPr fontId="3" type="noConversion"/>
  </si>
  <si>
    <t>大白菜</t>
    <phoneticPr fontId="3" type="noConversion"/>
  </si>
  <si>
    <t>翡翠炒飯</t>
    <phoneticPr fontId="3" type="noConversion"/>
  </si>
  <si>
    <t>豬柳</t>
    <phoneticPr fontId="3" type="noConversion"/>
  </si>
  <si>
    <t>豬肉絲</t>
    <phoneticPr fontId="3" type="noConversion"/>
  </si>
  <si>
    <t>豆干片</t>
    <phoneticPr fontId="3" type="noConversion"/>
  </si>
  <si>
    <r>
      <rPr>
        <sz val="11"/>
        <color indexed="8"/>
        <rFont val="標楷體"/>
        <family val="4"/>
        <charset val="136"/>
      </rPr>
      <t>青蔥</t>
    </r>
    <phoneticPr fontId="3" type="noConversion"/>
  </si>
  <si>
    <r>
      <rPr>
        <sz val="11"/>
        <rFont val="標楷體"/>
        <family val="4"/>
        <charset val="136"/>
      </rPr>
      <t>雞腿丁</t>
    </r>
    <phoneticPr fontId="3" type="noConversion"/>
  </si>
  <si>
    <r>
      <rPr>
        <sz val="11"/>
        <rFont val="標楷體"/>
        <family val="4"/>
        <charset val="136"/>
      </rPr>
      <t>洋蔥</t>
    </r>
  </si>
  <si>
    <r>
      <rPr>
        <sz val="11"/>
        <rFont val="標楷體"/>
        <family val="4"/>
        <charset val="136"/>
      </rPr>
      <t>馬鈴薯</t>
    </r>
    <phoneticPr fontId="3" type="noConversion"/>
  </si>
  <si>
    <r>
      <rPr>
        <sz val="11"/>
        <rFont val="標楷體"/>
        <family val="4"/>
        <charset val="136"/>
      </rPr>
      <t>紅蘿蔔</t>
    </r>
  </si>
  <si>
    <t>薑片</t>
    <phoneticPr fontId="3" type="noConversion"/>
  </si>
  <si>
    <r>
      <rPr>
        <sz val="11"/>
        <color indexed="8"/>
        <rFont val="標楷體"/>
        <family val="4"/>
        <charset val="136"/>
      </rPr>
      <t>油豆腐丁</t>
    </r>
    <phoneticPr fontId="3" type="noConversion"/>
  </si>
  <si>
    <r>
      <rPr>
        <sz val="11"/>
        <color indexed="8"/>
        <rFont val="標楷體"/>
        <family val="4"/>
        <charset val="136"/>
      </rPr>
      <t>紅蘿蔔</t>
    </r>
    <phoneticPr fontId="3" type="noConversion"/>
  </si>
  <si>
    <t>仙草蜜</t>
    <phoneticPr fontId="3" type="noConversion"/>
  </si>
  <si>
    <r>
      <rPr>
        <sz val="11"/>
        <rFont val="標楷體"/>
        <family val="4"/>
        <charset val="136"/>
      </rPr>
      <t>仙草凍</t>
    </r>
    <phoneticPr fontId="3" type="noConversion"/>
  </si>
  <si>
    <r>
      <rPr>
        <sz val="11"/>
        <rFont val="標楷體"/>
        <family val="4"/>
        <charset val="136"/>
      </rPr>
      <t>二砂糖</t>
    </r>
    <phoneticPr fontId="3" type="noConversion"/>
  </si>
  <si>
    <t>雞蛋</t>
    <phoneticPr fontId="3" type="noConversion"/>
  </si>
  <si>
    <t>紅蘿蔔</t>
    <phoneticPr fontId="3" type="noConversion"/>
  </si>
  <si>
    <t>馬鈴薯</t>
    <phoneticPr fontId="3" type="noConversion"/>
  </si>
  <si>
    <r>
      <rPr>
        <sz val="11"/>
        <rFont val="標楷體"/>
        <family val="4"/>
        <charset val="136"/>
      </rPr>
      <t>黑胡椒粒</t>
    </r>
    <phoneticPr fontId="48" type="noConversion"/>
  </si>
  <si>
    <r>
      <t>1</t>
    </r>
    <r>
      <rPr>
        <sz val="11"/>
        <rFont val="標楷體"/>
        <family val="4"/>
        <charset val="136"/>
      </rPr>
      <t>包</t>
    </r>
    <phoneticPr fontId="48" type="noConversion"/>
  </si>
  <si>
    <r>
      <rPr>
        <sz val="11"/>
        <color indexed="8"/>
        <rFont val="標楷體"/>
        <family val="4"/>
        <charset val="136"/>
      </rPr>
      <t>紅蘿蔔</t>
    </r>
    <phoneticPr fontId="3" type="noConversion"/>
  </si>
  <si>
    <r>
      <rPr>
        <sz val="11"/>
        <rFont val="標楷體"/>
        <family val="4"/>
        <charset val="136"/>
      </rPr>
      <t>洋蔥</t>
    </r>
    <phoneticPr fontId="3" type="noConversion"/>
  </si>
  <si>
    <t>扁蒲鮮菇湯</t>
    <phoneticPr fontId="3" type="noConversion"/>
  </si>
  <si>
    <t>扁蒲</t>
    <phoneticPr fontId="3" type="noConversion"/>
  </si>
  <si>
    <t>生香菇</t>
    <phoneticPr fontId="3" type="noConversion"/>
  </si>
  <si>
    <t>金針菇</t>
    <phoneticPr fontId="3" type="noConversion"/>
  </si>
  <si>
    <t>扁蒲</t>
    <phoneticPr fontId="3" type="noConversion"/>
  </si>
  <si>
    <t>雞蛋</t>
    <phoneticPr fontId="3" type="noConversion"/>
  </si>
  <si>
    <t>蒜粗</t>
    <phoneticPr fontId="3" type="noConversion"/>
  </si>
  <si>
    <t>洋蔥</t>
    <phoneticPr fontId="3" type="noConversion"/>
  </si>
  <si>
    <r>
      <rPr>
        <sz val="12"/>
        <rFont val="標楷體"/>
        <family val="4"/>
        <charset val="136"/>
      </rPr>
      <t>豬血</t>
    </r>
    <phoneticPr fontId="3" type="noConversion"/>
  </si>
  <si>
    <r>
      <rPr>
        <sz val="12"/>
        <rFont val="標楷體"/>
        <family val="4"/>
        <charset val="136"/>
      </rPr>
      <t>黑酸菜</t>
    </r>
    <phoneticPr fontId="3" type="noConversion"/>
  </si>
  <si>
    <r>
      <rPr>
        <sz val="12"/>
        <rFont val="標楷體"/>
        <family val="4"/>
        <charset val="136"/>
      </rPr>
      <t>韭菜</t>
    </r>
    <phoneticPr fontId="3" type="noConversion"/>
  </si>
  <si>
    <t>番茄洋蔥湯</t>
    <phoneticPr fontId="3" type="noConversion"/>
  </si>
  <si>
    <t>番茄</t>
    <phoneticPr fontId="3" type="noConversion"/>
  </si>
  <si>
    <t>金針菇</t>
    <phoneticPr fontId="3" type="noConversion"/>
  </si>
  <si>
    <t>丸片黃瓜</t>
    <phoneticPr fontId="3" type="noConversion"/>
  </si>
  <si>
    <t>大黃瓜</t>
    <phoneticPr fontId="3" type="noConversion"/>
  </si>
  <si>
    <t>貢丸</t>
    <phoneticPr fontId="3" type="noConversion"/>
  </si>
  <si>
    <r>
      <rPr>
        <sz val="11"/>
        <rFont val="標楷體"/>
        <family val="4"/>
        <charset val="136"/>
      </rPr>
      <t>紅蘿蔔</t>
    </r>
    <phoneticPr fontId="3" type="noConversion"/>
  </si>
  <si>
    <t>雞蛋</t>
    <phoneticPr fontId="3" type="noConversion"/>
  </si>
  <si>
    <t>冷凍玉米粒</t>
    <phoneticPr fontId="3" type="noConversion"/>
  </si>
  <si>
    <t>豬肉絲</t>
    <phoneticPr fontId="3" type="noConversion"/>
  </si>
  <si>
    <t>地瓜粉</t>
    <phoneticPr fontId="3" type="noConversion"/>
  </si>
  <si>
    <t>黃瓜大骨湯</t>
    <phoneticPr fontId="3" type="noConversion"/>
  </si>
  <si>
    <t>紅蘿蔔</t>
    <phoneticPr fontId="3" type="noConversion"/>
  </si>
  <si>
    <t>油豆腐丁</t>
    <phoneticPr fontId="3" type="noConversion"/>
  </si>
  <si>
    <t>味噌</t>
    <phoneticPr fontId="3" type="noConversion"/>
  </si>
  <si>
    <t>炒時蔬</t>
    <phoneticPr fontId="3" type="noConversion"/>
  </si>
  <si>
    <t>時蔬</t>
    <phoneticPr fontId="3" type="noConversion"/>
  </si>
  <si>
    <t>蒜粗</t>
    <phoneticPr fontId="3" type="noConversion"/>
  </si>
  <si>
    <t>不用送</t>
  </si>
  <si>
    <t>蒜粗</t>
    <phoneticPr fontId="3" type="noConversion"/>
  </si>
  <si>
    <t>火腿丁</t>
    <phoneticPr fontId="3" type="noConversion"/>
  </si>
  <si>
    <t>1罐</t>
    <phoneticPr fontId="3" type="noConversion"/>
  </si>
  <si>
    <r>
      <rPr>
        <sz val="11"/>
        <rFont val="標楷體"/>
        <family val="4"/>
        <charset val="136"/>
      </rPr>
      <t>高麗菜</t>
    </r>
  </si>
  <si>
    <t>白蘿蔔</t>
    <phoneticPr fontId="3" type="noConversion"/>
  </si>
  <si>
    <r>
      <t>1</t>
    </r>
    <r>
      <rPr>
        <sz val="12"/>
        <rFont val="標楷體"/>
        <family val="4"/>
        <charset val="136"/>
      </rPr>
      <t>箱</t>
    </r>
    <phoneticPr fontId="3" type="noConversion"/>
  </si>
  <si>
    <t>咖哩豬</t>
    <phoneticPr fontId="3" type="noConversion"/>
  </si>
  <si>
    <t>豬肉丁</t>
    <phoneticPr fontId="3" type="noConversion"/>
  </si>
  <si>
    <t>洋蔥</t>
    <phoneticPr fontId="3" type="noConversion"/>
  </si>
  <si>
    <t>咖哩粉</t>
    <phoneticPr fontId="3" type="noConversion"/>
  </si>
  <si>
    <r>
      <t>1</t>
    </r>
    <r>
      <rPr>
        <sz val="12"/>
        <rFont val="標楷體"/>
        <family val="4"/>
        <charset val="136"/>
      </rPr>
      <t>盒</t>
    </r>
    <phoneticPr fontId="3" type="noConversion"/>
  </si>
  <si>
    <t>馬鈴薯</t>
    <phoneticPr fontId="3" type="noConversion"/>
  </si>
  <si>
    <t>豆乾炒肉絲</t>
    <phoneticPr fontId="3" type="noConversion"/>
  </si>
  <si>
    <t>蝦米扁蒲</t>
    <phoneticPr fontId="3" type="noConversion"/>
  </si>
  <si>
    <t>扁蒲</t>
    <phoneticPr fontId="3" type="noConversion"/>
  </si>
  <si>
    <r>
      <rPr>
        <sz val="11"/>
        <color indexed="8"/>
        <rFont val="標楷體"/>
        <family val="4"/>
        <charset val="136"/>
      </rPr>
      <t>蒜粗</t>
    </r>
    <phoneticPr fontId="3" type="noConversion"/>
  </si>
  <si>
    <r>
      <rPr>
        <sz val="11"/>
        <rFont val="標楷體"/>
        <family val="4"/>
        <charset val="136"/>
      </rPr>
      <t>蝦米</t>
    </r>
    <phoneticPr fontId="3" type="noConversion"/>
  </si>
  <si>
    <t>1包</t>
    <phoneticPr fontId="3" type="noConversion"/>
  </si>
  <si>
    <t>雞腿丁</t>
    <phoneticPr fontId="3" type="noConversion"/>
  </si>
  <si>
    <t>紅娘炒蛋</t>
    <phoneticPr fontId="3" type="noConversion"/>
  </si>
  <si>
    <t>田園洋芋</t>
    <phoneticPr fontId="3" type="noConversion"/>
  </si>
  <si>
    <t>板豆腐</t>
    <phoneticPr fontId="3" type="noConversion"/>
  </si>
  <si>
    <t>酸辣湯</t>
    <phoneticPr fontId="3" type="noConversion"/>
  </si>
  <si>
    <r>
      <rPr>
        <sz val="11"/>
        <rFont val="標楷體"/>
        <family val="4"/>
        <charset val="136"/>
      </rPr>
      <t>雞蛋</t>
    </r>
    <phoneticPr fontId="3" type="noConversion"/>
  </si>
  <si>
    <t>黑木耳</t>
    <phoneticPr fontId="3" type="noConversion"/>
  </si>
  <si>
    <r>
      <rPr>
        <sz val="11"/>
        <rFont val="標楷體"/>
        <family val="4"/>
        <charset val="136"/>
      </rPr>
      <t>筍簽</t>
    </r>
    <phoneticPr fontId="3" type="noConversion"/>
  </si>
  <si>
    <r>
      <rPr>
        <sz val="11"/>
        <color indexed="8"/>
        <rFont val="標楷體"/>
        <family val="4"/>
        <charset val="136"/>
      </rPr>
      <t>紅蘿蔔</t>
    </r>
    <phoneticPr fontId="3" type="noConversion"/>
  </si>
  <si>
    <t>什錦炒麵</t>
    <phoneticPr fontId="3" type="noConversion"/>
  </si>
  <si>
    <t>鮮香菇</t>
    <phoneticPr fontId="3" type="noConversion"/>
  </si>
  <si>
    <t>豬肉絲</t>
    <phoneticPr fontId="3" type="noConversion"/>
  </si>
  <si>
    <t>大白菜</t>
    <phoneticPr fontId="3" type="noConversion"/>
  </si>
  <si>
    <t>雞架</t>
    <phoneticPr fontId="3" type="noConversion"/>
  </si>
  <si>
    <t>薑絲冬瓜湯</t>
    <phoneticPr fontId="3" type="noConversion"/>
  </si>
  <si>
    <t>照燒豬</t>
    <phoneticPr fontId="3" type="noConversion"/>
  </si>
  <si>
    <t>豬肉片</t>
    <phoneticPr fontId="3" type="noConversion"/>
  </si>
  <si>
    <t>高麗菜</t>
    <phoneticPr fontId="3" type="noConversion"/>
  </si>
  <si>
    <t>照燒醬(1kg)</t>
    <phoneticPr fontId="3" type="noConversion"/>
  </si>
  <si>
    <t>1包</t>
    <phoneticPr fontId="3" type="noConversion"/>
  </si>
  <si>
    <t>雞腿丁</t>
    <phoneticPr fontId="3" type="noConversion"/>
  </si>
  <si>
    <t>味噌燒雞</t>
    <phoneticPr fontId="3" type="noConversion"/>
  </si>
  <si>
    <t>洋芋燒雞</t>
    <phoneticPr fontId="3" type="noConversion"/>
  </si>
  <si>
    <r>
      <rPr>
        <sz val="11"/>
        <rFont val="標楷體"/>
        <family val="4"/>
        <charset val="136"/>
      </rPr>
      <t>白蘿蔔</t>
    </r>
    <phoneticPr fontId="3" type="noConversion"/>
  </si>
  <si>
    <t>油腐雞丁</t>
    <phoneticPr fontId="3" type="noConversion"/>
  </si>
  <si>
    <t>薏仁蘿蔔湯</t>
    <phoneticPr fontId="3" type="noConversion"/>
  </si>
  <si>
    <t>小薏仁</t>
    <phoneticPr fontId="3" type="noConversion"/>
  </si>
  <si>
    <r>
      <rPr>
        <sz val="11"/>
        <rFont val="標楷體"/>
        <family val="4"/>
        <charset val="136"/>
      </rPr>
      <t>白蘿蔔</t>
    </r>
  </si>
  <si>
    <r>
      <rPr>
        <sz val="11"/>
        <rFont val="標楷體"/>
        <family val="4"/>
        <charset val="136"/>
      </rPr>
      <t>大骨</t>
    </r>
    <phoneticPr fontId="3" type="noConversion"/>
  </si>
  <si>
    <t>扁蒲炒蛋</t>
    <phoneticPr fontId="3" type="noConversion"/>
  </si>
  <si>
    <t>鮮奶170份</t>
    <phoneticPr fontId="3" type="noConversion"/>
  </si>
  <si>
    <r>
      <t>538</t>
    </r>
    <r>
      <rPr>
        <sz val="11"/>
        <rFont val="標楷體"/>
        <family val="4"/>
        <charset val="136"/>
      </rPr>
      <t>支</t>
    </r>
    <phoneticPr fontId="3" type="noConversion"/>
  </si>
  <si>
    <t>番茄豆腐蛋</t>
    <phoneticPr fontId="3" type="noConversion"/>
  </si>
  <si>
    <t>沙茶醬</t>
    <phoneticPr fontId="3" type="noConversion"/>
  </si>
  <si>
    <t>洋蔥</t>
    <phoneticPr fontId="3" type="noConversion"/>
  </si>
  <si>
    <t>紅蘿蔔</t>
    <phoneticPr fontId="3" type="noConversion"/>
  </si>
  <si>
    <t>水果</t>
    <phoneticPr fontId="3" type="noConversion"/>
  </si>
  <si>
    <t>每人一份</t>
    <phoneticPr fontId="3" type="noConversion"/>
  </si>
  <si>
    <r>
      <rPr>
        <sz val="11"/>
        <rFont val="Book Antiqua"/>
        <family val="1"/>
      </rPr>
      <t>175</t>
    </r>
    <r>
      <rPr>
        <sz val="11"/>
        <rFont val="標楷體"/>
        <family val="4"/>
        <charset val="136"/>
      </rPr>
      <t>個</t>
    </r>
    <phoneticPr fontId="3" type="noConversion"/>
  </si>
  <si>
    <t>青木瓜大骨湯</t>
    <phoneticPr fontId="3" type="noConversion"/>
  </si>
  <si>
    <r>
      <rPr>
        <sz val="11"/>
        <rFont val="標楷體"/>
        <family val="4"/>
        <charset val="136"/>
      </rPr>
      <t>青木瓜</t>
    </r>
    <phoneticPr fontId="3" type="noConversion"/>
  </si>
  <si>
    <t>大骨</t>
    <phoneticPr fontId="3" type="noConversion"/>
  </si>
  <si>
    <t>地瓜湯</t>
    <phoneticPr fontId="3" type="noConversion"/>
  </si>
  <si>
    <t>老薑</t>
    <phoneticPr fontId="3" type="noConversion"/>
  </si>
  <si>
    <t>豬血湯</t>
    <phoneticPr fontId="3" type="noConversion"/>
  </si>
  <si>
    <t>1小罐</t>
    <phoneticPr fontId="3" type="noConversion"/>
  </si>
  <si>
    <r>
      <t>275</t>
    </r>
    <r>
      <rPr>
        <sz val="12"/>
        <color indexed="8"/>
        <rFont val="標楷體"/>
        <family val="4"/>
        <charset val="136"/>
      </rPr>
      <t>個</t>
    </r>
    <phoneticPr fontId="3" type="noConversion"/>
  </si>
  <si>
    <r>
      <rPr>
        <sz val="12"/>
        <rFont val="標楷體"/>
        <family val="4"/>
        <charset val="136"/>
      </rPr>
      <t>中粗烏龍麵24</t>
    </r>
    <r>
      <rPr>
        <sz val="12"/>
        <rFont val="Book Antiqua"/>
        <family val="1"/>
      </rPr>
      <t>K</t>
    </r>
    <phoneticPr fontId="3" type="noConversion"/>
  </si>
  <si>
    <t>瓜仔雞</t>
    <phoneticPr fontId="3" type="noConversion"/>
  </si>
  <si>
    <t>椒麻雞</t>
    <phoneticPr fontId="3" type="noConversion"/>
  </si>
  <si>
    <t>蒜粗</t>
    <phoneticPr fontId="3" type="noConversion"/>
  </si>
  <si>
    <t>香菜</t>
    <phoneticPr fontId="3" type="noConversion"/>
  </si>
  <si>
    <t>魚露</t>
    <phoneticPr fontId="3" type="noConversion"/>
  </si>
  <si>
    <r>
      <t>1</t>
    </r>
    <r>
      <rPr>
        <sz val="11"/>
        <color indexed="8"/>
        <rFont val="標楷體"/>
        <family val="4"/>
        <charset val="136"/>
      </rPr>
      <t>瓶</t>
    </r>
    <phoneticPr fontId="3" type="noConversion"/>
  </si>
  <si>
    <t>檸檬汁</t>
    <phoneticPr fontId="3" type="noConversion"/>
  </si>
  <si>
    <r>
      <t>1</t>
    </r>
    <r>
      <rPr>
        <sz val="11"/>
        <rFont val="標楷體"/>
        <family val="4"/>
        <charset val="136"/>
      </rPr>
      <t>瓶</t>
    </r>
    <phoneticPr fontId="3" type="noConversion"/>
  </si>
  <si>
    <t>辣椒</t>
    <phoneticPr fontId="3" type="noConversion"/>
  </si>
  <si>
    <t>白菜滷</t>
    <phoneticPr fontId="3" type="noConversion"/>
  </si>
  <si>
    <t>大白菜</t>
    <phoneticPr fontId="3" type="noConversion"/>
  </si>
  <si>
    <t>新鮮芋頭</t>
    <phoneticPr fontId="3" type="noConversion"/>
  </si>
  <si>
    <t>生香菇</t>
    <phoneticPr fontId="3" type="noConversion"/>
  </si>
  <si>
    <t>豆腐蛋花湯</t>
    <phoneticPr fontId="3" type="noConversion"/>
  </si>
  <si>
    <t>銀蘿貢丸湯</t>
    <phoneticPr fontId="3" type="noConversion"/>
  </si>
  <si>
    <t>南瓜燉肉</t>
    <phoneticPr fontId="3" type="noConversion"/>
  </si>
  <si>
    <r>
      <rPr>
        <sz val="11"/>
        <color indexed="8"/>
        <rFont val="標楷體"/>
        <family val="4"/>
        <charset val="136"/>
      </rPr>
      <t>豬肉丁</t>
    </r>
    <phoneticPr fontId="3" type="noConversion"/>
  </si>
  <si>
    <r>
      <rPr>
        <sz val="11"/>
        <color indexed="8"/>
        <rFont val="標楷體"/>
        <family val="4"/>
        <charset val="136"/>
      </rPr>
      <t>洋蔥</t>
    </r>
    <phoneticPr fontId="3" type="noConversion"/>
  </si>
  <si>
    <r>
      <rPr>
        <sz val="11"/>
        <color indexed="8"/>
        <rFont val="標楷體"/>
        <family val="4"/>
        <charset val="136"/>
      </rPr>
      <t>南瓜</t>
    </r>
    <phoneticPr fontId="3" type="noConversion"/>
  </si>
  <si>
    <t>雜糧飯</t>
    <phoneticPr fontId="3" type="noConversion"/>
  </si>
  <si>
    <t>豆漿178份</t>
    <phoneticPr fontId="3" type="noConversion"/>
  </si>
  <si>
    <t>雞腿丁</t>
    <phoneticPr fontId="3" type="noConversion"/>
  </si>
  <si>
    <t>紅蘿蔔</t>
    <phoneticPr fontId="3" type="noConversion"/>
  </si>
  <si>
    <t>米血糕</t>
    <phoneticPr fontId="3" type="noConversion"/>
  </si>
  <si>
    <t>麻油雞</t>
    <phoneticPr fontId="3" type="noConversion"/>
  </si>
  <si>
    <t>胡麻油</t>
    <phoneticPr fontId="3" type="noConversion"/>
  </si>
  <si>
    <r>
      <t>1</t>
    </r>
    <r>
      <rPr>
        <sz val="12"/>
        <rFont val="標楷體"/>
        <family val="4"/>
        <charset val="136"/>
      </rPr>
      <t>桶</t>
    </r>
    <phoneticPr fontId="3" type="noConversion"/>
  </si>
  <si>
    <t>薑片</t>
    <phoneticPr fontId="3" type="noConversion"/>
  </si>
  <si>
    <t>絞肉蒸蛋</t>
    <phoneticPr fontId="3" type="noConversion"/>
  </si>
  <si>
    <r>
      <rPr>
        <sz val="11"/>
        <color indexed="8"/>
        <rFont val="標楷體"/>
        <family val="4"/>
        <charset val="136"/>
      </rPr>
      <t>雞蛋</t>
    </r>
    <phoneticPr fontId="3" type="noConversion"/>
  </si>
  <si>
    <r>
      <rPr>
        <sz val="11"/>
        <color indexed="8"/>
        <rFont val="標楷體"/>
        <family val="4"/>
        <charset val="136"/>
      </rPr>
      <t>豬絞肉</t>
    </r>
    <phoneticPr fontId="3" type="noConversion"/>
  </si>
  <si>
    <r>
      <rPr>
        <sz val="11"/>
        <color indexed="8"/>
        <rFont val="標楷體"/>
        <family val="4"/>
        <charset val="136"/>
      </rPr>
      <t>油蔥酥</t>
    </r>
    <phoneticPr fontId="3" type="noConversion"/>
  </si>
  <si>
    <r>
      <t>1</t>
    </r>
    <r>
      <rPr>
        <sz val="12"/>
        <rFont val="標楷體"/>
        <family val="4"/>
        <charset val="136"/>
      </rPr>
      <t>封</t>
    </r>
    <phoneticPr fontId="3" type="noConversion"/>
  </si>
  <si>
    <t>年糕紙</t>
    <phoneticPr fontId="3" type="noConversion"/>
  </si>
  <si>
    <t>年糕紙提前一天送</t>
    <phoneticPr fontId="3" type="noConversion"/>
  </si>
  <si>
    <r>
      <rPr>
        <sz val="11"/>
        <rFont val="標楷體"/>
        <family val="4"/>
        <charset val="136"/>
      </rPr>
      <t>南瓜</t>
    </r>
    <phoneticPr fontId="3" type="noConversion"/>
  </si>
  <si>
    <t>黃地瓜</t>
    <phoneticPr fontId="3" type="noConversion"/>
  </si>
  <si>
    <t>海帶芽</t>
    <phoneticPr fontId="3" type="noConversion"/>
  </si>
  <si>
    <t>冬瓜山粉圓</t>
    <phoneticPr fontId="3" type="noConversion"/>
  </si>
  <si>
    <t>冬瓜磚</t>
    <phoneticPr fontId="3" type="noConversion"/>
  </si>
  <si>
    <t>8塊</t>
    <phoneticPr fontId="3" type="noConversion"/>
  </si>
  <si>
    <r>
      <rPr>
        <sz val="11"/>
        <rFont val="標楷體"/>
        <family val="4"/>
        <charset val="136"/>
      </rPr>
      <t>山粉圓</t>
    </r>
    <phoneticPr fontId="3" type="noConversion"/>
  </si>
  <si>
    <t>糖醋肉</t>
    <phoneticPr fontId="3" type="noConversion"/>
  </si>
  <si>
    <t>豬肉丁</t>
    <phoneticPr fontId="3" type="noConversion"/>
  </si>
  <si>
    <t>青椒</t>
    <phoneticPr fontId="3" type="noConversion"/>
  </si>
  <si>
    <t>洋蔥</t>
    <phoneticPr fontId="3" type="noConversion"/>
  </si>
  <si>
    <t>板豆腐</t>
    <phoneticPr fontId="3" type="noConversion"/>
  </si>
  <si>
    <t>青蔥</t>
    <phoneticPr fontId="3" type="noConversion"/>
  </si>
  <si>
    <t>味噌</t>
    <phoneticPr fontId="3" type="noConversion"/>
  </si>
  <si>
    <r>
      <t>1</t>
    </r>
    <r>
      <rPr>
        <sz val="12"/>
        <color indexed="8"/>
        <rFont val="標楷體"/>
        <family val="4"/>
        <charset val="136"/>
      </rPr>
      <t>箱</t>
    </r>
    <phoneticPr fontId="3" type="noConversion"/>
  </si>
  <si>
    <t>紅燒豆腐煲</t>
    <phoneticPr fontId="3" type="noConversion"/>
  </si>
  <si>
    <t>筍片</t>
    <phoneticPr fontId="48" type="noConversion"/>
  </si>
  <si>
    <t>豆芽菜富含膳食纖維，是便秘患者的健康蔬菜之一，有預防消化道癌症的功效。 豆芽菜也是自然食用主義者所推崇的食品之一ㄛ!</t>
    <phoneticPr fontId="3" type="noConversion"/>
  </si>
  <si>
    <t>水果含有豐富的維生素C、維生素A以及人體必需的各種礦物質，可以促進健康、增強孩子的免疫力</t>
    <phoneticPr fontId="3" type="noConversion"/>
  </si>
  <si>
    <t>地瓜皮含豐富的黏液蛋白等多醣類物質，能降低血液中的膽固醇、保持血管彈性，預防血管硬化及高血壓等心血管疾病。</t>
    <phoneticPr fontId="3" type="noConversion"/>
  </si>
  <si>
    <t>南瓜所含的β胡蘿蔔素為超級抗氧化物，具有防癌功效、增強免疫力作用、保護眼力。</t>
    <phoneticPr fontId="3" type="noConversion"/>
  </si>
  <si>
    <t>大滷麵</t>
    <phoneticPr fontId="3" type="noConversion"/>
  </si>
  <si>
    <t>天婦羅湯</t>
    <phoneticPr fontId="3" type="noConversion"/>
  </si>
  <si>
    <t>基隆市中正國民小學</t>
    <phoneticPr fontId="3" type="noConversion"/>
  </si>
  <si>
    <t>豬肉能夠提供身體所需的蛋白質、脂肪、維生素及礦物質，能幫助修復身體組織、加強免疫力、保護器官功能。所含的磷能製造骨骼與牙齒所需營養、幫助神經功能保持正常。</t>
    <phoneticPr fontId="3" type="noConversion"/>
  </si>
  <si>
    <t>高麗菜為十字花科的高抗氧化性蔬菜，能有效消除疲勞、預防感冒，且具有促進腸胃蠕動的功效，協助排出身體的廢物喔!</t>
    <phoneticPr fontId="3" type="noConversion"/>
  </si>
  <si>
    <t>南瓜所含的β胡蘿蔔素為超級抗氧化物，具有防癌功效、增強免疫力作用、保護眼力。</t>
    <phoneticPr fontId="3" type="noConversion"/>
  </si>
  <si>
    <t>豆芽菜富含膳食纖維，是便秘患者的健康蔬菜之一，有預防消化道癌症的功效。 豆芽菜也是自然食用主義者所推崇的食品之一ㄛ!</t>
    <phoneticPr fontId="3" type="noConversion"/>
  </si>
  <si>
    <t>乾是由豆類製成，含有均衡的植物性蛋白質；另外含有維生素B1、B2、B12、鈣、磷、鐵、鉀、鈉、胡蘿蔔素等多種成分。</t>
    <phoneticPr fontId="3" type="noConversion"/>
  </si>
  <si>
    <t>番茄內含有抗氧化物番茄紅素，能有效預防前列腺癌以及抵抗皮膚被紫外線曬傷。</t>
    <phoneticPr fontId="3" type="noConversion"/>
  </si>
  <si>
    <t>雞肉含優質蛋白質、脂肪含量少，能增強體力、強壯身體，是體質虛弱、病後、產後以及老年人適合攝取蛋白質的來源。</t>
    <phoneticPr fontId="3" type="noConversion"/>
  </si>
  <si>
    <t>馬鈴薯營養價值很高，含有澱粉、蛋白質、多種維生素、鐵、鈣及磷，其蛋白質屬於完全蛋白，能有效被人體吸收。</t>
    <phoneticPr fontId="3" type="noConversion"/>
  </si>
  <si>
    <t>炒粄條</t>
    <phoneticPr fontId="3" type="noConversion"/>
  </si>
  <si>
    <t>竹輪</t>
    <phoneticPr fontId="3" type="noConversion"/>
  </si>
  <si>
    <t>豆芽</t>
    <phoneticPr fontId="3" type="noConversion"/>
  </si>
  <si>
    <t>韭菜</t>
    <phoneticPr fontId="3" type="noConversion"/>
  </si>
  <si>
    <t>竹輪高麗菜</t>
    <phoneticPr fontId="3" type="noConversion"/>
  </si>
  <si>
    <t>豬肉絲(粗)</t>
    <phoneticPr fontId="3" type="noConversion"/>
  </si>
  <si>
    <t>黑木耳</t>
    <phoneticPr fontId="3" type="noConversion"/>
  </si>
  <si>
    <t>筍籤</t>
    <phoneticPr fontId="3" type="noConversion"/>
  </si>
  <si>
    <t>花瓜條</t>
    <phoneticPr fontId="3" type="noConversion"/>
  </si>
  <si>
    <t>魯四方豆干</t>
    <phoneticPr fontId="3" type="noConversion"/>
  </si>
  <si>
    <t>滷包</t>
    <phoneticPr fontId="3" type="noConversion"/>
  </si>
  <si>
    <t>1大罐</t>
    <phoneticPr fontId="3" type="noConversion"/>
  </si>
  <si>
    <t>鑫鑫腸炒飯</t>
    <phoneticPr fontId="3" type="noConversion"/>
  </si>
  <si>
    <t>三色豆</t>
    <phoneticPr fontId="3" type="noConversion"/>
  </si>
  <si>
    <t>鑫鑫腸</t>
    <phoneticPr fontId="3" type="noConversion"/>
  </si>
  <si>
    <t>(1大2小)</t>
    <phoneticPr fontId="3" type="noConversion"/>
  </si>
  <si>
    <t>黑胡椒豬柳</t>
    <phoneticPr fontId="3" type="noConversion"/>
  </si>
  <si>
    <t>洋蔥</t>
    <phoneticPr fontId="3" type="noConversion"/>
  </si>
  <si>
    <t>黑胡椒醬</t>
    <phoneticPr fontId="3" type="noConversion"/>
  </si>
  <si>
    <r>
      <t>1</t>
    </r>
    <r>
      <rPr>
        <sz val="12"/>
        <rFont val="細明體"/>
        <family val="1"/>
        <charset val="136"/>
      </rPr>
      <t>桶</t>
    </r>
    <phoneticPr fontId="3" type="noConversion"/>
  </si>
  <si>
    <t>竹輪</t>
    <phoneticPr fontId="3" type="noConversion"/>
  </si>
  <si>
    <t>杏鮑菇</t>
    <phoneticPr fontId="3" type="noConversion"/>
  </si>
  <si>
    <t>雞蛋</t>
    <phoneticPr fontId="3" type="noConversion"/>
  </si>
  <si>
    <r>
      <rPr>
        <sz val="12"/>
        <rFont val="標楷體"/>
        <family val="4"/>
        <charset val="136"/>
      </rPr>
      <t>細烏龍2</t>
    </r>
    <r>
      <rPr>
        <sz val="12"/>
        <rFont val="Book Antiqua"/>
        <family val="4"/>
      </rPr>
      <t>8.2</t>
    </r>
    <r>
      <rPr>
        <sz val="12"/>
        <rFont val="Book Antiqua"/>
        <family val="1"/>
      </rPr>
      <t>k</t>
    </r>
    <phoneticPr fontId="3" type="noConversion"/>
  </si>
  <si>
    <t>時蔬</t>
    <phoneticPr fontId="3" type="noConversion"/>
  </si>
  <si>
    <t>絞肉南瓜</t>
    <phoneticPr fontId="3" type="noConversion"/>
  </si>
  <si>
    <t>豬絞肉</t>
    <phoneticPr fontId="3" type="noConversion"/>
  </si>
  <si>
    <t>大黃瓜滑蛋</t>
    <phoneticPr fontId="3" type="noConversion"/>
  </si>
  <si>
    <t>味噌豆腐湯</t>
    <phoneticPr fontId="3" type="noConversion"/>
  </si>
  <si>
    <t>炒粄條28.2k</t>
    <phoneticPr fontId="3" type="noConversion"/>
  </si>
  <si>
    <t>青蔥</t>
    <phoneticPr fontId="3" type="noConversion"/>
  </si>
  <si>
    <t>蒜末</t>
    <phoneticPr fontId="3" type="noConversion"/>
  </si>
  <si>
    <t>二節翅</t>
    <phoneticPr fontId="3" type="noConversion"/>
  </si>
  <si>
    <t>魚柳燴三色</t>
    <phoneticPr fontId="3" type="noConversion"/>
  </si>
  <si>
    <t>魚柳</t>
    <phoneticPr fontId="3" type="noConversion"/>
  </si>
  <si>
    <t>小黃瓜</t>
    <phoneticPr fontId="3" type="noConversion"/>
  </si>
  <si>
    <t>洋蔥</t>
    <phoneticPr fontId="3" type="noConversion"/>
  </si>
  <si>
    <r>
      <t>1</t>
    </r>
    <r>
      <rPr>
        <sz val="11"/>
        <rFont val="標楷體"/>
        <family val="4"/>
        <charset val="136"/>
      </rPr>
      <t>包</t>
    </r>
    <phoneticPr fontId="3" type="noConversion"/>
  </si>
  <si>
    <t>豆干</t>
    <phoneticPr fontId="3" type="noConversion"/>
  </si>
  <si>
    <t>國小3塊</t>
    <phoneticPr fontId="3" type="noConversion"/>
  </si>
  <si>
    <t>幼兒園2塊</t>
    <phoneticPr fontId="3" type="noConversion"/>
  </si>
  <si>
    <r>
      <t>715</t>
    </r>
    <r>
      <rPr>
        <sz val="11"/>
        <rFont val="標楷體"/>
        <family val="4"/>
        <charset val="136"/>
      </rPr>
      <t>塊</t>
    </r>
    <phoneticPr fontId="3" type="noConversion"/>
  </si>
  <si>
    <t>滷雞翅</t>
    <phoneticPr fontId="3" type="noConversion"/>
  </si>
  <si>
    <t>(1大1小)</t>
    <phoneticPr fontId="3" type="noConversion"/>
  </si>
  <si>
    <t>莊涵婷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</si>
</sst>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"/>
    <numFmt numFmtId="177" formatCode="m&quot;月&quot;d&quot;日&quot;"/>
    <numFmt numFmtId="178" formatCode="0.0_ "/>
    <numFmt numFmtId="179" formatCode="0.00_);[Red]\(0.00\)"/>
    <numFmt numFmtId="180" formatCode="0.0"/>
  </numFmts>
  <fonts count="62"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name val="Book Antiqua"/>
      <family val="1"/>
    </font>
    <font>
      <sz val="7"/>
      <name val="Book Antiqua"/>
      <family val="1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Book Antiqua"/>
      <family val="1"/>
    </font>
    <font>
      <sz val="11"/>
      <color indexed="8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name val="新細明體"/>
      <family val="1"/>
      <charset val="136"/>
    </font>
    <font>
      <b/>
      <sz val="11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b/>
      <sz val="12"/>
      <name val="標楷體"/>
      <family val="4"/>
      <charset val="136"/>
    </font>
    <font>
      <b/>
      <sz val="12"/>
      <name val="Book Antiqua"/>
      <family val="1"/>
    </font>
    <font>
      <sz val="12"/>
      <color theme="1"/>
      <name val="新細明體"/>
      <family val="2"/>
      <scheme val="minor"/>
    </font>
    <font>
      <sz val="10"/>
      <color theme="1"/>
      <name val="Book Antiqua"/>
      <family val="1"/>
    </font>
    <font>
      <sz val="14"/>
      <color theme="1"/>
      <name val="Book Antiqua"/>
      <family val="1"/>
    </font>
    <font>
      <sz val="12"/>
      <color indexed="8"/>
      <name val="Book Antiqua"/>
      <family val="1"/>
    </font>
    <font>
      <sz val="11"/>
      <color theme="1"/>
      <name val="標楷體"/>
      <family val="4"/>
      <charset val="136"/>
    </font>
    <font>
      <sz val="12"/>
      <color rgb="FF00B0F0"/>
      <name val="標楷體"/>
      <family val="4"/>
      <charset val="136"/>
    </font>
    <font>
      <sz val="12"/>
      <color rgb="FF00B0F0"/>
      <name val="Book Antiqua"/>
      <family val="1"/>
    </font>
    <font>
      <sz val="12"/>
      <color rgb="FFFF0000"/>
      <name val="標楷體"/>
      <family val="4"/>
      <charset val="136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  <charset val="136"/>
    </font>
    <font>
      <sz val="12"/>
      <color indexed="16"/>
      <name val="Book Antiqua"/>
      <family val="1"/>
    </font>
    <font>
      <sz val="12"/>
      <color indexed="16"/>
      <name val="標楷體"/>
      <family val="4"/>
      <charset val="136"/>
    </font>
    <font>
      <sz val="11"/>
      <color indexed="16"/>
      <name val="標楷體"/>
      <family val="4"/>
      <charset val="136"/>
    </font>
    <font>
      <sz val="8"/>
      <name val="標楷體"/>
      <family val="4"/>
      <charset val="136"/>
    </font>
    <font>
      <sz val="11"/>
      <color rgb="FFFF0000"/>
      <name val="Book Antiqua"/>
      <family val="1"/>
    </font>
    <font>
      <sz val="9"/>
      <name val="新細明體"/>
      <family val="3"/>
      <charset val="136"/>
      <scheme val="minor"/>
    </font>
    <font>
      <sz val="11"/>
      <color rgb="FFFF0000"/>
      <name val="標楷體"/>
      <family val="4"/>
      <charset val="136"/>
    </font>
    <font>
      <sz val="10"/>
      <color rgb="FF00B0F0"/>
      <name val="標楷體"/>
      <family val="4"/>
      <charset val="136"/>
    </font>
    <font>
      <sz val="10"/>
      <name val="標楷體"/>
      <family val="4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name val="細明體"/>
      <family val="1"/>
      <charset val="136"/>
    </font>
    <font>
      <sz val="11"/>
      <color theme="0"/>
      <name val="Book Antiqua"/>
      <family val="1"/>
    </font>
    <font>
      <sz val="11"/>
      <color theme="0"/>
      <name val="新細明體"/>
      <family val="1"/>
      <charset val="136"/>
    </font>
    <font>
      <sz val="10"/>
      <color theme="0"/>
      <name val="新細明體"/>
      <family val="1"/>
      <charset val="136"/>
    </font>
    <font>
      <sz val="11"/>
      <name val="細明體"/>
      <family val="1"/>
      <charset val="136"/>
    </font>
    <font>
      <sz val="11"/>
      <color rgb="FF000000"/>
      <name val="標楷體"/>
      <family val="4"/>
      <charset val="136"/>
    </font>
    <font>
      <sz val="12"/>
      <name val="Book Antiqua"/>
      <family val="4"/>
      <charset val="136"/>
    </font>
    <font>
      <sz val="12"/>
      <name val="Book Antiqua"/>
      <family val="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/>
    <xf numFmtId="0" fontId="33" fillId="0" borderId="0"/>
    <xf numFmtId="0" fontId="25" fillId="0" borderId="0"/>
  </cellStyleXfs>
  <cellXfs count="40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76" fontId="2" fillId="0" borderId="12" xfId="0" applyNumberFormat="1" applyFont="1" applyBorder="1" applyAlignment="1" applyProtection="1">
      <alignment vertical="center"/>
      <protection hidden="1"/>
    </xf>
    <xf numFmtId="176" fontId="2" fillId="0" borderId="11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176" fontId="2" fillId="0" borderId="22" xfId="0" applyNumberFormat="1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10" fontId="2" fillId="0" borderId="22" xfId="0" applyNumberFormat="1" applyFont="1" applyBorder="1" applyAlignment="1" applyProtection="1">
      <alignment vertical="center"/>
      <protection hidden="1"/>
    </xf>
    <xf numFmtId="179" fontId="7" fillId="3" borderId="30" xfId="0" applyNumberFormat="1" applyFont="1" applyFill="1" applyBorder="1" applyAlignment="1" applyProtection="1">
      <alignment vertical="center"/>
      <protection locked="0"/>
    </xf>
    <xf numFmtId="179" fontId="8" fillId="0" borderId="31" xfId="0" applyNumberFormat="1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176" fontId="2" fillId="0" borderId="33" xfId="0" applyNumberFormat="1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>
      <alignment horizontal="center" vertical="center" shrinkToFit="1"/>
    </xf>
    <xf numFmtId="180" fontId="10" fillId="0" borderId="8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1" fontId="10" fillId="0" borderId="6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NumberFormat="1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3" fillId="0" borderId="47" xfId="0" applyFont="1" applyFill="1" applyBorder="1" applyAlignment="1">
      <alignment vertical="center" shrinkToFit="1"/>
    </xf>
    <xf numFmtId="0" fontId="26" fillId="0" borderId="47" xfId="0" applyFont="1" applyFill="1" applyBorder="1" applyAlignment="1">
      <alignment vertical="center" shrinkToFit="1"/>
    </xf>
    <xf numFmtId="0" fontId="13" fillId="0" borderId="47" xfId="0" applyFont="1" applyFill="1" applyBorder="1" applyAlignment="1">
      <alignment horizontal="right" vertical="center" shrinkToFit="1"/>
    </xf>
    <xf numFmtId="0" fontId="26" fillId="0" borderId="47" xfId="0" applyFont="1" applyFill="1" applyBorder="1" applyAlignment="1">
      <alignment horizontal="right" vertical="center" shrinkToFit="1"/>
    </xf>
    <xf numFmtId="0" fontId="26" fillId="0" borderId="47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textRotation="255" shrinkToFit="1"/>
    </xf>
    <xf numFmtId="0" fontId="16" fillId="0" borderId="2" xfId="0" applyFont="1" applyFill="1" applyBorder="1" applyAlignment="1">
      <alignment horizontal="center" vertical="center" textRotation="255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180" fontId="23" fillId="0" borderId="0" xfId="0" applyNumberFormat="1" applyFont="1" applyFill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textRotation="255" shrinkToFit="1"/>
    </xf>
    <xf numFmtId="0" fontId="16" fillId="0" borderId="6" xfId="0" applyFont="1" applyFill="1" applyBorder="1" applyAlignment="1">
      <alignment horizontal="center" vertical="center" textRotation="255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textRotation="255" shrinkToFit="1"/>
    </xf>
    <xf numFmtId="0" fontId="17" fillId="0" borderId="30" xfId="0" applyFont="1" applyFill="1" applyBorder="1" applyAlignment="1">
      <alignment horizontal="center" vertical="center" textRotation="255" wrapText="1" shrinkToFit="1"/>
    </xf>
    <xf numFmtId="0" fontId="16" fillId="0" borderId="8" xfId="0" applyFont="1" applyFill="1" applyBorder="1" applyAlignment="1">
      <alignment horizontal="center" vertical="center" textRotation="255" shrinkToFit="1"/>
    </xf>
    <xf numFmtId="0" fontId="9" fillId="0" borderId="8" xfId="0" applyFont="1" applyFill="1" applyBorder="1" applyAlignment="1">
      <alignment horizontal="center" vertical="center" textRotation="255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177" fontId="9" fillId="0" borderId="2" xfId="0" applyNumberFormat="1" applyFont="1" applyFill="1" applyBorder="1" applyAlignment="1">
      <alignment horizontal="center" vertical="center" textRotation="255"/>
    </xf>
    <xf numFmtId="0" fontId="16" fillId="0" borderId="2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vertical="center" shrinkToFit="1"/>
    </xf>
    <xf numFmtId="0" fontId="20" fillId="0" borderId="2" xfId="0" applyFont="1" applyFill="1" applyBorder="1" applyAlignment="1">
      <alignment horizontal="center" vertical="center" shrinkToFit="1"/>
    </xf>
    <xf numFmtId="178" fontId="16" fillId="0" borderId="2" xfId="0" applyNumberFormat="1" applyFont="1" applyFill="1" applyBorder="1" applyAlignment="1">
      <alignment horizontal="center" vertical="center" shrinkToFit="1"/>
    </xf>
    <xf numFmtId="180" fontId="24" fillId="0" borderId="0" xfId="0" applyNumberFormat="1" applyFont="1" applyFill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177" fontId="9" fillId="0" borderId="6" xfId="0" applyNumberFormat="1" applyFont="1" applyFill="1" applyBorder="1" applyAlignment="1">
      <alignment horizontal="center" vertical="center" textRotation="255"/>
    </xf>
    <xf numFmtId="0" fontId="16" fillId="0" borderId="6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horizontal="center" vertical="center" shrinkToFit="1"/>
    </xf>
    <xf numFmtId="178" fontId="16" fillId="0" borderId="6" xfId="0" applyNumberFormat="1" applyFont="1" applyFill="1" applyBorder="1" applyAlignment="1">
      <alignment horizontal="center" vertical="center" shrinkToFit="1"/>
    </xf>
    <xf numFmtId="180" fontId="23" fillId="0" borderId="0" xfId="0" applyNumberFormat="1" applyFont="1" applyFill="1" applyAlignment="1">
      <alignment vertical="center" shrinkToFit="1"/>
    </xf>
    <xf numFmtId="180" fontId="23" fillId="0" borderId="0" xfId="0" applyNumberFormat="1" applyFont="1" applyFill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center" vertical="center" shrinkToFit="1"/>
    </xf>
    <xf numFmtId="180" fontId="21" fillId="0" borderId="0" xfId="1" applyNumberFormat="1" applyFont="1" applyFill="1" applyAlignment="1">
      <alignment vertical="center" shrinkToFit="1"/>
    </xf>
    <xf numFmtId="0" fontId="21" fillId="0" borderId="6" xfId="0" applyFont="1" applyFill="1" applyBorder="1" applyAlignment="1">
      <alignment vertical="center" shrinkToFit="1"/>
    </xf>
    <xf numFmtId="0" fontId="16" fillId="0" borderId="6" xfId="0" applyFont="1" applyFill="1" applyBorder="1" applyAlignment="1">
      <alignment vertical="center" shrinkToFit="1"/>
    </xf>
    <xf numFmtId="0" fontId="16" fillId="0" borderId="6" xfId="0" applyFont="1" applyFill="1" applyBorder="1" applyAlignment="1">
      <alignment horizontal="center" vertical="center" shrinkToFit="1"/>
    </xf>
    <xf numFmtId="1" fontId="21" fillId="0" borderId="6" xfId="0" applyNumberFormat="1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 shrinkToFit="1"/>
    </xf>
    <xf numFmtId="1" fontId="21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0" fontId="36" fillId="0" borderId="6" xfId="0" applyFont="1" applyFill="1" applyBorder="1" applyAlignment="1">
      <alignment horizontal="center" vertical="center" shrinkToFit="1"/>
    </xf>
    <xf numFmtId="177" fontId="9" fillId="0" borderId="8" xfId="0" applyNumberFormat="1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36" fillId="0" borderId="8" xfId="0" applyFont="1" applyFill="1" applyBorder="1" applyAlignment="1">
      <alignment horizontal="center" vertical="center" shrinkToFit="1"/>
    </xf>
    <xf numFmtId="178" fontId="16" fillId="0" borderId="8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41" fillId="0" borderId="35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 shrinkToFit="1"/>
    </xf>
    <xf numFmtId="0" fontId="44" fillId="0" borderId="48" xfId="0" applyFont="1" applyFill="1" applyBorder="1" applyAlignment="1">
      <alignment horizontal="center" vertical="center" shrinkToFit="1"/>
    </xf>
    <xf numFmtId="0" fontId="44" fillId="0" borderId="36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180" fontId="34" fillId="0" borderId="0" xfId="0" applyNumberFormat="1" applyFont="1" applyFill="1" applyAlignment="1">
      <alignment horizontal="left" vertical="center" shrinkToFit="1"/>
    </xf>
    <xf numFmtId="0" fontId="55" fillId="0" borderId="0" xfId="0" applyFont="1" applyFill="1" applyAlignment="1">
      <alignment horizontal="center" vertical="center" shrinkToFit="1"/>
    </xf>
    <xf numFmtId="0" fontId="10" fillId="0" borderId="6" xfId="0" applyFont="1" applyFill="1" applyBorder="1" applyAlignment="1">
      <alignment horizontal="left" vertical="center" shrinkToFit="1"/>
    </xf>
    <xf numFmtId="180" fontId="10" fillId="0" borderId="6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 shrinkToFit="1"/>
    </xf>
    <xf numFmtId="0" fontId="9" fillId="0" borderId="4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 shrinkToFit="1"/>
    </xf>
    <xf numFmtId="0" fontId="36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43" fillId="0" borderId="35" xfId="0" applyFont="1" applyFill="1" applyBorder="1" applyAlignment="1">
      <alignment horizontal="center" vertical="center" shrinkToFit="1"/>
    </xf>
    <xf numFmtId="0" fontId="43" fillId="0" borderId="46" xfId="0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center" vertical="center" shrinkToFit="1"/>
    </xf>
    <xf numFmtId="0" fontId="43" fillId="0" borderId="36" xfId="0" applyFont="1" applyFill="1" applyBorder="1" applyAlignment="1">
      <alignment horizontal="center" vertical="center" shrinkToFit="1"/>
    </xf>
    <xf numFmtId="180" fontId="34" fillId="0" borderId="0" xfId="0" applyNumberFormat="1" applyFont="1" applyFill="1" applyAlignment="1">
      <alignment horizontal="left" vertical="center"/>
    </xf>
    <xf numFmtId="0" fontId="9" fillId="0" borderId="43" xfId="0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vertical="center" shrinkToFit="1"/>
    </xf>
    <xf numFmtId="180" fontId="21" fillId="0" borderId="2" xfId="1" applyNumberFormat="1" applyFont="1" applyFill="1" applyBorder="1" applyAlignment="1">
      <alignment horizontal="center" vertical="center" shrinkToFit="1"/>
    </xf>
    <xf numFmtId="1" fontId="21" fillId="0" borderId="2" xfId="1" applyNumberFormat="1" applyFont="1" applyFill="1" applyBorder="1" applyAlignment="1">
      <alignment horizontal="center" vertical="center" shrinkToFit="1"/>
    </xf>
    <xf numFmtId="178" fontId="16" fillId="0" borderId="40" xfId="0" applyNumberFormat="1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vertical="center" shrinkToFit="1"/>
    </xf>
    <xf numFmtId="1" fontId="21" fillId="0" borderId="6" xfId="1" applyNumberFormat="1" applyFont="1" applyFill="1" applyBorder="1" applyAlignment="1">
      <alignment horizontal="center" vertical="center" shrinkToFit="1"/>
    </xf>
    <xf numFmtId="178" fontId="16" fillId="0" borderId="41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vertical="center" shrinkToFit="1"/>
    </xf>
    <xf numFmtId="180" fontId="21" fillId="0" borderId="6" xfId="1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vertical="center" shrinkToFit="1"/>
    </xf>
    <xf numFmtId="180" fontId="34" fillId="0" borderId="0" xfId="0" applyNumberFormat="1" applyFont="1" applyFill="1" applyAlignment="1">
      <alignment horizontal="center" vertical="center" shrinkToFit="1"/>
    </xf>
    <xf numFmtId="0" fontId="38" fillId="0" borderId="8" xfId="0" applyFont="1" applyFill="1" applyBorder="1" applyAlignment="1">
      <alignment vertical="center" shrinkToFit="1"/>
    </xf>
    <xf numFmtId="0" fontId="39" fillId="0" borderId="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vertical="center" shrinkToFit="1"/>
    </xf>
    <xf numFmtId="0" fontId="26" fillId="0" borderId="43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vertical="center" shrinkToFit="1"/>
    </xf>
    <xf numFmtId="0" fontId="26" fillId="0" borderId="44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vertical="center" shrinkToFit="1"/>
    </xf>
    <xf numFmtId="0" fontId="26" fillId="0" borderId="45" xfId="0" applyFont="1" applyFill="1" applyBorder="1" applyAlignment="1">
      <alignment horizontal="center" vertical="center" shrinkToFit="1"/>
    </xf>
    <xf numFmtId="180" fontId="22" fillId="0" borderId="6" xfId="0" applyNumberFormat="1" applyFont="1" applyFill="1" applyBorder="1" applyAlignment="1">
      <alignment horizontal="center" vertical="center" shrinkToFit="1"/>
    </xf>
    <xf numFmtId="180" fontId="23" fillId="0" borderId="0" xfId="0" applyNumberFormat="1" applyFont="1" applyFill="1" applyBorder="1" applyAlignment="1">
      <alignment vertical="center" shrinkToFit="1"/>
    </xf>
    <xf numFmtId="180" fontId="34" fillId="0" borderId="0" xfId="0" applyNumberFormat="1" applyFont="1" applyFill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50" fillId="0" borderId="6" xfId="0" applyFont="1" applyFill="1" applyBorder="1" applyAlignment="1">
      <alignment horizontal="center" vertical="center" shrinkToFit="1"/>
    </xf>
    <xf numFmtId="180" fontId="21" fillId="0" borderId="0" xfId="0" applyNumberFormat="1" applyFont="1" applyFill="1" applyAlignment="1">
      <alignment horizontal="center" vertical="center" shrinkToFit="1"/>
    </xf>
    <xf numFmtId="0" fontId="51" fillId="0" borderId="47" xfId="0" applyFont="1" applyFill="1" applyBorder="1" applyAlignment="1">
      <alignment vertical="center" shrinkToFit="1"/>
    </xf>
    <xf numFmtId="0" fontId="51" fillId="0" borderId="8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80" fontId="21" fillId="0" borderId="6" xfId="0" applyNumberFormat="1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vertical="center" shrinkToFit="1"/>
    </xf>
    <xf numFmtId="1" fontId="21" fillId="0" borderId="8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1" fillId="0" borderId="2" xfId="1" applyFont="1" applyFill="1" applyBorder="1" applyAlignment="1">
      <alignment vertical="center" shrinkToFit="1"/>
    </xf>
    <xf numFmtId="1" fontId="24" fillId="0" borderId="6" xfId="1" applyNumberFormat="1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vertical="center" shrinkToFit="1"/>
    </xf>
    <xf numFmtId="0" fontId="39" fillId="0" borderId="2" xfId="0" applyFont="1" applyFill="1" applyBorder="1" applyAlignment="1">
      <alignment horizontal="center" vertical="center" shrinkToFit="1"/>
    </xf>
    <xf numFmtId="180" fontId="21" fillId="0" borderId="8" xfId="0" applyNumberFormat="1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vertical="center" shrinkToFit="1"/>
    </xf>
    <xf numFmtId="0" fontId="41" fillId="0" borderId="43" xfId="0" applyFont="1" applyFill="1" applyBorder="1" applyAlignment="1">
      <alignment horizontal="center" vertical="center" shrinkToFit="1"/>
    </xf>
    <xf numFmtId="0" fontId="41" fillId="0" borderId="46" xfId="0" applyFont="1" applyFill="1" applyBorder="1" applyAlignment="1">
      <alignment horizontal="center" vertical="center" shrinkToFit="1"/>
    </xf>
    <xf numFmtId="0" fontId="41" fillId="0" borderId="40" xfId="0" applyFont="1" applyFill="1" applyBorder="1" applyAlignment="1">
      <alignment horizontal="center" vertical="center" shrinkToFit="1"/>
    </xf>
    <xf numFmtId="0" fontId="41" fillId="0" borderId="44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41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center" vertical="center" shrinkToFit="1"/>
    </xf>
    <xf numFmtId="0" fontId="41" fillId="0" borderId="47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180" fontId="16" fillId="0" borderId="0" xfId="0" applyNumberFormat="1" applyFont="1" applyFill="1" applyBorder="1" applyAlignment="1">
      <alignment horizontal="center" vertical="center" shrinkToFit="1"/>
    </xf>
    <xf numFmtId="0" fontId="32" fillId="0" borderId="46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10" fontId="21" fillId="0" borderId="0" xfId="0" applyNumberFormat="1" applyFont="1" applyFill="1" applyAlignment="1">
      <alignment horizontal="center" vertical="center" shrinkToFit="1"/>
    </xf>
    <xf numFmtId="177" fontId="21" fillId="0" borderId="0" xfId="0" applyNumberFormat="1" applyFont="1" applyFill="1" applyAlignment="1">
      <alignment horizontal="center" vertical="center" shrinkToFit="1"/>
    </xf>
    <xf numFmtId="0" fontId="37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31" fillId="0" borderId="47" xfId="0" applyFont="1" applyFill="1" applyBorder="1" applyAlignment="1">
      <alignment vertical="center" shrinkToFit="1"/>
    </xf>
    <xf numFmtId="0" fontId="32" fillId="0" borderId="47" xfId="0" applyFont="1" applyFill="1" applyBorder="1" applyAlignment="1">
      <alignment vertical="center" shrinkToFit="1"/>
    </xf>
    <xf numFmtId="0" fontId="32" fillId="0" borderId="47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wrapText="1" shrinkToFit="1"/>
    </xf>
    <xf numFmtId="2" fontId="23" fillId="0" borderId="0" xfId="0" applyNumberFormat="1" applyFont="1" applyFill="1" applyAlignment="1">
      <alignment horizontal="center" vertical="center" shrinkToFit="1"/>
    </xf>
    <xf numFmtId="0" fontId="22" fillId="0" borderId="8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58" fillId="0" borderId="6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 shrinkToFit="1"/>
    </xf>
    <xf numFmtId="1" fontId="22" fillId="0" borderId="6" xfId="0" applyNumberFormat="1" applyFont="1" applyFill="1" applyBorder="1" applyAlignment="1">
      <alignment horizontal="center" vertical="center" shrinkToFit="1"/>
    </xf>
    <xf numFmtId="0" fontId="52" fillId="0" borderId="8" xfId="0" applyFont="1" applyFill="1" applyBorder="1" applyAlignment="1">
      <alignment vertical="center" shrinkToFit="1"/>
    </xf>
    <xf numFmtId="0" fontId="52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1" fontId="16" fillId="0" borderId="6" xfId="0" applyNumberFormat="1" applyFont="1" applyFill="1" applyBorder="1" applyAlignment="1">
      <alignment horizontal="center" vertical="center" shrinkToFit="1"/>
    </xf>
    <xf numFmtId="0" fontId="54" fillId="0" borderId="2" xfId="0" applyFont="1" applyFill="1" applyBorder="1" applyAlignment="1">
      <alignment horizontal="center" vertical="center" shrinkToFit="1"/>
    </xf>
    <xf numFmtId="0" fontId="36" fillId="0" borderId="6" xfId="0" applyFont="1" applyFill="1" applyBorder="1" applyAlignment="1">
      <alignment vertical="center" shrinkToFit="1"/>
    </xf>
    <xf numFmtId="0" fontId="37" fillId="0" borderId="46" xfId="0" applyFont="1" applyFill="1" applyBorder="1" applyAlignment="1">
      <alignment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37" fillId="0" borderId="45" xfId="0" applyFont="1" applyFill="1" applyBorder="1" applyAlignment="1">
      <alignment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vertical="center" shrinkToFit="1"/>
    </xf>
    <xf numFmtId="0" fontId="45" fillId="0" borderId="35" xfId="0" applyFont="1" applyFill="1" applyBorder="1" applyAlignment="1">
      <alignment horizontal="center" vertical="center" shrinkToFit="1"/>
    </xf>
    <xf numFmtId="0" fontId="45" fillId="0" borderId="48" xfId="0" applyFont="1" applyFill="1" applyBorder="1" applyAlignment="1">
      <alignment horizontal="center" vertical="center" shrinkToFit="1"/>
    </xf>
    <xf numFmtId="0" fontId="45" fillId="0" borderId="36" xfId="0" applyFont="1" applyFill="1" applyBorder="1" applyAlignment="1">
      <alignment horizontal="center" vertical="center" shrinkToFit="1"/>
    </xf>
    <xf numFmtId="0" fontId="59" fillId="0" borderId="6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2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37" fillId="0" borderId="0" xfId="0" applyFont="1" applyFill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 textRotation="255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textRotation="255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textRotation="255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textRotation="255" wrapText="1" shrinkToFit="1"/>
    </xf>
    <xf numFmtId="0" fontId="10" fillId="0" borderId="8" xfId="0" applyFont="1" applyFill="1" applyBorder="1" applyAlignment="1">
      <alignment horizontal="center" vertical="center" textRotation="255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left" vertical="center" shrinkToFit="1"/>
    </xf>
    <xf numFmtId="1" fontId="39" fillId="0" borderId="6" xfId="0" applyNumberFormat="1" applyFont="1" applyFill="1" applyBorder="1" applyAlignment="1">
      <alignment horizontal="center" vertical="center" shrinkToFit="1"/>
    </xf>
    <xf numFmtId="0" fontId="38" fillId="0" borderId="47" xfId="0" applyFont="1" applyFill="1" applyBorder="1" applyAlignment="1">
      <alignment horizontal="left" vertical="center" shrinkToFit="1"/>
    </xf>
    <xf numFmtId="0" fontId="10" fillId="0" borderId="2" xfId="1" applyFont="1" applyFill="1" applyBorder="1" applyAlignment="1">
      <alignment horizontal="left" vertical="center" shrinkToFit="1"/>
    </xf>
    <xf numFmtId="1" fontId="16" fillId="0" borderId="2" xfId="0" applyNumberFormat="1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21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left" vertical="center" shrinkToFit="1"/>
    </xf>
    <xf numFmtId="0" fontId="52" fillId="0" borderId="0" xfId="0" applyFont="1" applyFill="1" applyAlignment="1">
      <alignment horizontal="left" vertical="center" shrinkToFit="1"/>
    </xf>
    <xf numFmtId="0" fontId="0" fillId="0" borderId="8" xfId="0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left" vertical="center" shrinkToFit="1"/>
    </xf>
    <xf numFmtId="0" fontId="20" fillId="0" borderId="6" xfId="0" applyFont="1" applyFill="1" applyBorder="1" applyAlignment="1">
      <alignment horizontal="left" vertical="center" shrinkToFit="1"/>
    </xf>
    <xf numFmtId="0" fontId="20" fillId="0" borderId="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center" vertical="center" shrinkToFit="1"/>
    </xf>
    <xf numFmtId="180" fontId="16" fillId="0" borderId="2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textRotation="255"/>
    </xf>
    <xf numFmtId="0" fontId="16" fillId="0" borderId="43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 shrinkToFit="1"/>
    </xf>
    <xf numFmtId="0" fontId="21" fillId="0" borderId="8" xfId="0" applyFont="1" applyFill="1" applyBorder="1" applyAlignment="1">
      <alignment horizontal="left" vertical="center" shrinkToFit="1"/>
    </xf>
    <xf numFmtId="0" fontId="16" fillId="0" borderId="45" xfId="0" applyFont="1" applyFill="1" applyBorder="1" applyAlignment="1">
      <alignment horizontal="left" vertical="center" shrinkToFit="1"/>
    </xf>
    <xf numFmtId="0" fontId="45" fillId="0" borderId="46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left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38" fillId="0" borderId="2" xfId="0" applyFont="1" applyFill="1" applyBorder="1" applyAlignment="1">
      <alignment horizontal="left" vertical="center" shrinkToFit="1"/>
    </xf>
    <xf numFmtId="1" fontId="22" fillId="0" borderId="8" xfId="0" applyNumberFormat="1" applyFont="1" applyFill="1" applyBorder="1" applyAlignment="1">
      <alignment horizontal="center" vertical="center" shrinkToFit="1"/>
    </xf>
    <xf numFmtId="177" fontId="10" fillId="0" borderId="2" xfId="0" applyNumberFormat="1" applyFont="1" applyFill="1" applyBorder="1" applyAlignment="1">
      <alignment horizontal="center" vertical="center" textRotation="255" shrinkToFit="1"/>
    </xf>
    <xf numFmtId="0" fontId="40" fillId="0" borderId="2" xfId="0" applyFont="1" applyFill="1" applyBorder="1" applyAlignment="1">
      <alignment horizontal="center" vertical="center" textRotation="255"/>
    </xf>
    <xf numFmtId="177" fontId="10" fillId="0" borderId="6" xfId="0" applyNumberFormat="1" applyFont="1" applyFill="1" applyBorder="1" applyAlignment="1">
      <alignment horizontal="center" vertical="center" textRotation="255" shrinkToFit="1"/>
    </xf>
    <xf numFmtId="0" fontId="40" fillId="0" borderId="6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left" vertical="center" shrinkToFit="1"/>
    </xf>
    <xf numFmtId="0" fontId="38" fillId="0" borderId="6" xfId="0" applyFont="1" applyFill="1" applyBorder="1" applyAlignment="1">
      <alignment horizontal="left" vertical="center" shrinkToFit="1"/>
    </xf>
    <xf numFmtId="0" fontId="39" fillId="0" borderId="6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left" vertical="center" shrinkToFit="1"/>
    </xf>
    <xf numFmtId="0" fontId="40" fillId="0" borderId="8" xfId="0" applyFont="1" applyFill="1" applyBorder="1" applyAlignment="1">
      <alignment horizontal="center" vertical="center" textRotation="255"/>
    </xf>
    <xf numFmtId="49" fontId="21" fillId="0" borderId="0" xfId="0" applyNumberFormat="1" applyFont="1" applyFill="1" applyAlignment="1">
      <alignment horizontal="center" vertical="center" shrinkToFit="1"/>
    </xf>
    <xf numFmtId="0" fontId="22" fillId="0" borderId="2" xfId="0" applyFont="1" applyFill="1" applyBorder="1" applyAlignment="1">
      <alignment horizontal="left" vertical="center" shrinkToFit="1"/>
    </xf>
    <xf numFmtId="180" fontId="23" fillId="0" borderId="41" xfId="0" applyNumberFormat="1" applyFont="1" applyFill="1" applyBorder="1" applyAlignment="1">
      <alignment horizontal="center" vertical="center" shrinkToFit="1"/>
    </xf>
    <xf numFmtId="0" fontId="59" fillId="0" borderId="8" xfId="0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left" vertical="center" shrinkToFit="1"/>
    </xf>
    <xf numFmtId="0" fontId="36" fillId="0" borderId="6" xfId="0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left" vertical="center" shrinkToFit="1"/>
    </xf>
    <xf numFmtId="0" fontId="23" fillId="0" borderId="8" xfId="0" applyFont="1" applyFill="1" applyBorder="1" applyAlignment="1">
      <alignment horizontal="center" vertical="center" shrinkToFit="1"/>
    </xf>
    <xf numFmtId="1" fontId="23" fillId="0" borderId="45" xfId="0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16" fillId="0" borderId="6" xfId="1" applyFont="1" applyFill="1" applyBorder="1" applyAlignment="1">
      <alignment horizontal="center" vertical="center" shrinkToFit="1"/>
    </xf>
    <xf numFmtId="0" fontId="21" fillId="0" borderId="6" xfId="1" applyFont="1" applyFill="1" applyBorder="1" applyAlignment="1">
      <alignment horizontal="left" vertical="center" shrinkToFit="1"/>
    </xf>
    <xf numFmtId="0" fontId="16" fillId="0" borderId="8" xfId="1" applyFont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left" vertical="center" shrinkToFit="1"/>
    </xf>
    <xf numFmtId="0" fontId="24" fillId="0" borderId="6" xfId="2" applyFont="1" applyFill="1" applyBorder="1" applyAlignment="1">
      <alignment horizontal="left" vertical="center" shrinkToFit="1"/>
    </xf>
    <xf numFmtId="0" fontId="24" fillId="0" borderId="6" xfId="2" applyFont="1" applyFill="1" applyBorder="1" applyAlignment="1">
      <alignment horizontal="center" vertical="center" shrinkToFit="1"/>
    </xf>
    <xf numFmtId="0" fontId="22" fillId="0" borderId="6" xfId="2" applyFont="1" applyFill="1" applyBorder="1" applyAlignment="1">
      <alignment horizontal="left" vertical="center" shrinkToFit="1"/>
    </xf>
    <xf numFmtId="0" fontId="59" fillId="0" borderId="6" xfId="2" applyFont="1" applyFill="1" applyBorder="1" applyAlignment="1">
      <alignment horizontal="left" vertical="center" shrinkToFit="1"/>
    </xf>
    <xf numFmtId="0" fontId="59" fillId="0" borderId="6" xfId="0" applyFont="1" applyFill="1" applyBorder="1" applyAlignment="1">
      <alignment horizontal="left" vertical="center" shrinkToFit="1"/>
    </xf>
    <xf numFmtId="0" fontId="21" fillId="0" borderId="6" xfId="2" applyFont="1" applyFill="1" applyBorder="1" applyAlignment="1">
      <alignment horizontal="left" vertical="center" shrinkToFit="1"/>
    </xf>
    <xf numFmtId="0" fontId="21" fillId="0" borderId="6" xfId="2" applyFont="1" applyFill="1" applyBorder="1" applyAlignment="1">
      <alignment horizontal="center" vertical="center" shrinkToFit="1"/>
    </xf>
    <xf numFmtId="0" fontId="60" fillId="0" borderId="2" xfId="0" applyFont="1" applyFill="1" applyBorder="1" applyAlignment="1">
      <alignment horizontal="center" vertical="center" textRotation="255"/>
    </xf>
    <xf numFmtId="0" fontId="16" fillId="0" borderId="2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44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shrinkToFit="1"/>
    </xf>
    <xf numFmtId="0" fontId="16" fillId="0" borderId="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center" vertical="center"/>
    </xf>
    <xf numFmtId="180" fontId="21" fillId="0" borderId="2" xfId="0" applyNumberFormat="1" applyFont="1" applyFill="1" applyBorder="1" applyAlignment="1">
      <alignment horizontal="center" vertical="center" shrinkToFit="1"/>
    </xf>
    <xf numFmtId="1" fontId="16" fillId="0" borderId="8" xfId="0" applyNumberFormat="1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left" vertical="center" shrinkToFit="1"/>
    </xf>
    <xf numFmtId="0" fontId="16" fillId="0" borderId="41" xfId="0" applyFont="1" applyFill="1" applyBorder="1" applyAlignment="1">
      <alignment horizontal="left" vertical="center" shrinkToFit="1"/>
    </xf>
    <xf numFmtId="180" fontId="16" fillId="0" borderId="8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80" fontId="23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1" fontId="22" fillId="0" borderId="2" xfId="0" applyNumberFormat="1" applyFont="1" applyFill="1" applyBorder="1" applyAlignment="1">
      <alignment horizontal="center" vertical="center" shrinkToFit="1"/>
    </xf>
    <xf numFmtId="178" fontId="14" fillId="0" borderId="2" xfId="0" applyNumberFormat="1" applyFont="1" applyFill="1" applyBorder="1" applyAlignment="1">
      <alignment horizontal="center" vertical="center" shrinkToFit="1"/>
    </xf>
    <xf numFmtId="178" fontId="46" fillId="0" borderId="2" xfId="0" applyNumberFormat="1" applyFont="1" applyFill="1" applyBorder="1" applyAlignment="1">
      <alignment horizontal="center" vertical="center" shrinkToFit="1"/>
    </xf>
    <xf numFmtId="178" fontId="14" fillId="0" borderId="6" xfId="0" applyNumberFormat="1" applyFont="1" applyFill="1" applyBorder="1" applyAlignment="1">
      <alignment horizontal="center" vertical="center" shrinkToFit="1"/>
    </xf>
    <xf numFmtId="178" fontId="46" fillId="0" borderId="6" xfId="0" applyNumberFormat="1" applyFont="1" applyFill="1" applyBorder="1" applyAlignment="1">
      <alignment horizontal="center" vertical="center" shrinkToFit="1"/>
    </xf>
    <xf numFmtId="0" fontId="49" fillId="0" borderId="2" xfId="0" applyFont="1" applyFill="1" applyBorder="1" applyAlignment="1">
      <alignment horizontal="left" vertical="center" shrinkToFit="1"/>
    </xf>
    <xf numFmtId="0" fontId="47" fillId="0" borderId="2" xfId="0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textRotation="255" shrinkToFit="1"/>
    </xf>
    <xf numFmtId="178" fontId="9" fillId="0" borderId="8" xfId="0" applyNumberFormat="1" applyFont="1" applyFill="1" applyBorder="1" applyAlignment="1">
      <alignment horizontal="center" vertical="center" textRotation="255" shrinkToFit="1"/>
    </xf>
  </cellXfs>
  <cellStyles count="4">
    <cellStyle name="一般" xfId="0" builtinId="0"/>
    <cellStyle name="一般 2" xfId="2" xr:uid="{00000000-0005-0000-0000-000001000000}"/>
    <cellStyle name="一般 2 2" xfId="1" xr:uid="{00000000-0005-0000-0000-000002000000}"/>
    <cellStyle name="一般 2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78</xdr:row>
      <xdr:rowOff>47625</xdr:rowOff>
    </xdr:from>
    <xdr:to>
      <xdr:col>6</xdr:col>
      <xdr:colOff>145415</xdr:colOff>
      <xdr:row>79</xdr:row>
      <xdr:rowOff>14605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105025" y="12687300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79</xdr:row>
      <xdr:rowOff>38100</xdr:rowOff>
    </xdr:from>
    <xdr:to>
      <xdr:col>6</xdr:col>
      <xdr:colOff>145415</xdr:colOff>
      <xdr:row>79</xdr:row>
      <xdr:rowOff>252730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105025" y="12858750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78</xdr:row>
      <xdr:rowOff>38100</xdr:rowOff>
    </xdr:from>
    <xdr:to>
      <xdr:col>6</xdr:col>
      <xdr:colOff>126365</xdr:colOff>
      <xdr:row>78</xdr:row>
      <xdr:rowOff>252730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085975" y="12858750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77</xdr:row>
      <xdr:rowOff>38100</xdr:rowOff>
    </xdr:from>
    <xdr:to>
      <xdr:col>6</xdr:col>
      <xdr:colOff>126365</xdr:colOff>
      <xdr:row>77</xdr:row>
      <xdr:rowOff>252730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085975" y="12858750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N81"/>
  <sheetViews>
    <sheetView tabSelected="1" zoomScaleNormal="100" workbookViewId="0">
      <selection activeCell="S34" sqref="S34:S37"/>
    </sheetView>
  </sheetViews>
  <sheetFormatPr defaultColWidth="9" defaultRowHeight="16.5"/>
  <cols>
    <col min="1" max="1" width="5.375" style="98" customWidth="1"/>
    <col min="2" max="2" width="3.625" style="57" customWidth="1"/>
    <col min="3" max="4" width="3.625" style="58" customWidth="1"/>
    <col min="5" max="5" width="11.625" style="58" customWidth="1"/>
    <col min="6" max="6" width="6.5" style="59" customWidth="1"/>
    <col min="7" max="7" width="5.625" style="58" customWidth="1"/>
    <col min="8" max="8" width="6.25" style="59" customWidth="1"/>
    <col min="9" max="9" width="3.625" style="58" customWidth="1"/>
    <col min="10" max="10" width="4" style="58" customWidth="1"/>
    <col min="11" max="11" width="3.625" style="58" customWidth="1"/>
    <col min="12" max="12" width="4" style="58" customWidth="1"/>
    <col min="13" max="13" width="3.875" style="58" customWidth="1"/>
    <col min="14" max="14" width="4.5" style="58" customWidth="1"/>
    <col min="15" max="21" width="3.875" style="58" customWidth="1"/>
    <col min="22" max="22" width="4.5" style="58" customWidth="1"/>
    <col min="23" max="25" width="3.875" style="58" customWidth="1"/>
    <col min="26" max="26" width="2.5" style="58" customWidth="1"/>
    <col min="27" max="27" width="5.75" style="97" customWidth="1"/>
    <col min="28" max="28" width="6" style="63" customWidth="1"/>
    <col min="29" max="16384" width="9" style="58"/>
  </cols>
  <sheetData>
    <row r="1" spans="1:29">
      <c r="A1" s="56"/>
      <c r="P1" s="60" t="s">
        <v>38</v>
      </c>
      <c r="Q1" s="60"/>
      <c r="R1" s="60"/>
      <c r="S1" s="60"/>
      <c r="T1" s="60"/>
      <c r="U1" s="60"/>
      <c r="V1" s="60"/>
      <c r="Y1" s="61">
        <v>20</v>
      </c>
      <c r="AA1" s="62"/>
    </row>
    <row r="2" spans="1:29" ht="15.75" customHeight="1">
      <c r="A2" s="64"/>
      <c r="B2" s="65"/>
      <c r="C2" s="66"/>
      <c r="D2" s="66"/>
      <c r="E2" s="67" t="s">
        <v>374</v>
      </c>
      <c r="F2" s="68"/>
      <c r="G2" s="68"/>
      <c r="H2" s="69" t="s">
        <v>141</v>
      </c>
      <c r="I2" s="69"/>
      <c r="J2" s="69"/>
      <c r="K2" s="69"/>
      <c r="L2" s="69"/>
      <c r="M2" s="69"/>
      <c r="N2" s="69"/>
      <c r="O2" s="69"/>
      <c r="P2" s="69" t="s">
        <v>39</v>
      </c>
      <c r="Q2" s="69"/>
      <c r="R2" s="69"/>
      <c r="S2" s="69"/>
      <c r="T2" s="69"/>
      <c r="U2" s="69"/>
      <c r="V2" s="70" t="s">
        <v>40</v>
      </c>
      <c r="W2" s="70"/>
      <c r="X2" s="70"/>
      <c r="Y2" s="58">
        <v>5</v>
      </c>
      <c r="Z2" s="71"/>
      <c r="AA2" s="72"/>
    </row>
    <row r="3" spans="1:29" ht="12.95" customHeight="1">
      <c r="A3" s="64"/>
      <c r="B3" s="73" t="s">
        <v>95</v>
      </c>
      <c r="C3" s="74" t="s">
        <v>51</v>
      </c>
      <c r="D3" s="74" t="s">
        <v>52</v>
      </c>
      <c r="E3" s="75" t="s">
        <v>53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5" t="s">
        <v>54</v>
      </c>
      <c r="R3" s="76"/>
      <c r="S3" s="77"/>
      <c r="T3" s="75" t="s">
        <v>55</v>
      </c>
      <c r="U3" s="76"/>
      <c r="V3" s="76"/>
      <c r="W3" s="76"/>
      <c r="X3" s="77"/>
      <c r="Y3" s="74" t="s">
        <v>56</v>
      </c>
      <c r="Z3" s="71"/>
      <c r="AA3" s="78"/>
      <c r="AB3" s="62"/>
    </row>
    <row r="4" spans="1:29" ht="12.95" customHeight="1">
      <c r="A4" s="64"/>
      <c r="B4" s="79"/>
      <c r="C4" s="80"/>
      <c r="D4" s="80"/>
      <c r="E4" s="81" t="s">
        <v>57</v>
      </c>
      <c r="F4" s="82" t="s">
        <v>58</v>
      </c>
      <c r="G4" s="74" t="s">
        <v>59</v>
      </c>
      <c r="H4" s="82" t="s">
        <v>58</v>
      </c>
      <c r="I4" s="74" t="s">
        <v>59</v>
      </c>
      <c r="J4" s="75" t="s">
        <v>60</v>
      </c>
      <c r="K4" s="76"/>
      <c r="L4" s="76"/>
      <c r="M4" s="76"/>
      <c r="N4" s="76"/>
      <c r="O4" s="76"/>
      <c r="P4" s="77"/>
      <c r="Q4" s="74" t="s">
        <v>61</v>
      </c>
      <c r="R4" s="74" t="s">
        <v>62</v>
      </c>
      <c r="S4" s="74" t="s">
        <v>63</v>
      </c>
      <c r="T4" s="74" t="s">
        <v>64</v>
      </c>
      <c r="U4" s="74" t="s">
        <v>73</v>
      </c>
      <c r="V4" s="74" t="s">
        <v>74</v>
      </c>
      <c r="W4" s="74" t="s">
        <v>75</v>
      </c>
      <c r="X4" s="74" t="s">
        <v>76</v>
      </c>
      <c r="Y4" s="80"/>
      <c r="Z4" s="71"/>
      <c r="AA4" s="78"/>
      <c r="AB4" s="62"/>
    </row>
    <row r="5" spans="1:29" ht="12.95" customHeight="1">
      <c r="A5" s="64"/>
      <c r="B5" s="79"/>
      <c r="C5" s="80"/>
      <c r="D5" s="80"/>
      <c r="E5" s="81"/>
      <c r="F5" s="82"/>
      <c r="G5" s="80"/>
      <c r="H5" s="82"/>
      <c r="I5" s="80"/>
      <c r="J5" s="83" t="s">
        <v>77</v>
      </c>
      <c r="K5" s="83" t="s">
        <v>78</v>
      </c>
      <c r="L5" s="83" t="s">
        <v>79</v>
      </c>
      <c r="M5" s="83" t="s">
        <v>80</v>
      </c>
      <c r="N5" s="83" t="s">
        <v>81</v>
      </c>
      <c r="O5" s="84" t="s">
        <v>82</v>
      </c>
      <c r="P5" s="83" t="s">
        <v>83</v>
      </c>
      <c r="Q5" s="80"/>
      <c r="R5" s="80"/>
      <c r="S5" s="80"/>
      <c r="T5" s="80"/>
      <c r="U5" s="80"/>
      <c r="V5" s="80"/>
      <c r="W5" s="80"/>
      <c r="X5" s="80"/>
      <c r="Y5" s="80"/>
      <c r="Z5" s="71"/>
      <c r="AA5" s="78"/>
      <c r="AB5" s="62"/>
    </row>
    <row r="6" spans="1:29" ht="12.95" customHeight="1">
      <c r="A6" s="64"/>
      <c r="B6" s="79"/>
      <c r="C6" s="80"/>
      <c r="D6" s="80"/>
      <c r="E6" s="81"/>
      <c r="F6" s="82"/>
      <c r="G6" s="80"/>
      <c r="H6" s="82"/>
      <c r="I6" s="80"/>
      <c r="J6" s="83"/>
      <c r="K6" s="83"/>
      <c r="L6" s="83"/>
      <c r="M6" s="83"/>
      <c r="N6" s="83"/>
      <c r="O6" s="84"/>
      <c r="P6" s="83"/>
      <c r="Q6" s="80"/>
      <c r="R6" s="80"/>
      <c r="S6" s="80"/>
      <c r="T6" s="85"/>
      <c r="U6" s="85"/>
      <c r="V6" s="85"/>
      <c r="W6" s="85"/>
      <c r="X6" s="85"/>
      <c r="Y6" s="80"/>
      <c r="Z6" s="71"/>
      <c r="AA6" s="78"/>
      <c r="AB6" s="62"/>
    </row>
    <row r="7" spans="1:29" ht="12.95" customHeight="1">
      <c r="A7" s="64"/>
      <c r="B7" s="86"/>
      <c r="C7" s="85"/>
      <c r="D7" s="85"/>
      <c r="E7" s="87"/>
      <c r="F7" s="88"/>
      <c r="G7" s="85"/>
      <c r="H7" s="82"/>
      <c r="I7" s="85"/>
      <c r="J7" s="83"/>
      <c r="K7" s="83"/>
      <c r="L7" s="83"/>
      <c r="M7" s="83"/>
      <c r="N7" s="83"/>
      <c r="O7" s="84"/>
      <c r="P7" s="83"/>
      <c r="Q7" s="85"/>
      <c r="R7" s="85"/>
      <c r="S7" s="85"/>
      <c r="T7" s="89">
        <v>5</v>
      </c>
      <c r="U7" s="89">
        <v>4</v>
      </c>
      <c r="V7" s="89">
        <v>3</v>
      </c>
      <c r="W7" s="89">
        <v>2</v>
      </c>
      <c r="X7" s="89">
        <v>1</v>
      </c>
      <c r="Y7" s="85"/>
      <c r="Z7" s="71"/>
      <c r="AA7" s="78"/>
      <c r="AB7" s="62"/>
    </row>
    <row r="8" spans="1:29" ht="12.95" customHeight="1">
      <c r="A8" s="58">
        <v>269</v>
      </c>
      <c r="B8" s="90">
        <v>43927</v>
      </c>
      <c r="C8" s="91" t="s">
        <v>65</v>
      </c>
      <c r="D8" s="92" t="s">
        <v>140</v>
      </c>
      <c r="E8" s="93" t="s">
        <v>358</v>
      </c>
      <c r="F8" s="94" t="s">
        <v>359</v>
      </c>
      <c r="G8" s="95">
        <f>ROUND(55.3*A8/1000,0)</f>
        <v>15</v>
      </c>
      <c r="H8" s="94" t="s">
        <v>360</v>
      </c>
      <c r="I8" s="95">
        <v>2</v>
      </c>
      <c r="J8" s="96">
        <v>5.5</v>
      </c>
      <c r="K8" s="96">
        <v>2.9</v>
      </c>
      <c r="L8" s="96">
        <v>1</v>
      </c>
      <c r="M8" s="96">
        <v>1.5</v>
      </c>
      <c r="N8" s="96">
        <v>0</v>
      </c>
      <c r="O8" s="96">
        <v>2.2999999999999998</v>
      </c>
      <c r="P8" s="96">
        <f>SUM(J8*70+K8*75+L8*120+M8*25+N8*60+O8*45)</f>
        <v>863.5</v>
      </c>
      <c r="Q8" s="74"/>
      <c r="R8" s="91"/>
      <c r="S8" s="91"/>
      <c r="T8" s="91"/>
      <c r="U8" s="91"/>
      <c r="V8" s="91"/>
      <c r="W8" s="91"/>
      <c r="X8" s="91"/>
      <c r="Y8" s="92" t="s">
        <v>298</v>
      </c>
      <c r="Z8" s="71"/>
    </row>
    <row r="9" spans="1:29" ht="12.95" customHeight="1">
      <c r="B9" s="99"/>
      <c r="C9" s="100"/>
      <c r="D9" s="101"/>
      <c r="E9" s="102"/>
      <c r="F9" s="103" t="s">
        <v>361</v>
      </c>
      <c r="G9" s="104">
        <v>4</v>
      </c>
      <c r="H9" s="103"/>
      <c r="I9" s="104"/>
      <c r="J9" s="105"/>
      <c r="K9" s="105"/>
      <c r="L9" s="105"/>
      <c r="M9" s="105"/>
      <c r="N9" s="105"/>
      <c r="O9" s="105"/>
      <c r="P9" s="105"/>
      <c r="Q9" s="80"/>
      <c r="R9" s="100"/>
      <c r="S9" s="100"/>
      <c r="T9" s="100"/>
      <c r="U9" s="100"/>
      <c r="V9" s="100"/>
      <c r="W9" s="100"/>
      <c r="X9" s="100"/>
      <c r="Y9" s="101"/>
      <c r="Z9" s="71"/>
      <c r="AA9" s="106"/>
      <c r="AB9" s="107"/>
      <c r="AC9" s="62"/>
    </row>
    <row r="10" spans="1:29" ht="12.95" customHeight="1">
      <c r="B10" s="99"/>
      <c r="C10" s="100"/>
      <c r="D10" s="101"/>
      <c r="E10" s="108"/>
      <c r="F10" s="109" t="s">
        <v>338</v>
      </c>
      <c r="G10" s="110">
        <f>ROUND(15*A8/1000,0)</f>
        <v>4</v>
      </c>
      <c r="H10" s="109"/>
      <c r="I10" s="111"/>
      <c r="J10" s="105"/>
      <c r="K10" s="105"/>
      <c r="L10" s="105"/>
      <c r="M10" s="105"/>
      <c r="N10" s="105"/>
      <c r="O10" s="105"/>
      <c r="P10" s="105"/>
      <c r="Q10" s="85"/>
      <c r="R10" s="112"/>
      <c r="S10" s="112"/>
      <c r="T10" s="112"/>
      <c r="U10" s="112"/>
      <c r="V10" s="112"/>
      <c r="W10" s="112"/>
      <c r="X10" s="112"/>
      <c r="Y10" s="101"/>
      <c r="Z10" s="71"/>
      <c r="AA10" s="106"/>
      <c r="AB10" s="106"/>
      <c r="AC10" s="62"/>
    </row>
    <row r="11" spans="1:29" ht="12.95" customHeight="1">
      <c r="B11" s="99"/>
      <c r="C11" s="100"/>
      <c r="D11" s="101"/>
      <c r="E11" s="93" t="s">
        <v>184</v>
      </c>
      <c r="F11" s="113" t="s">
        <v>182</v>
      </c>
      <c r="G11" s="114">
        <f>ROUND(50*A8/1000,0)</f>
        <v>13</v>
      </c>
      <c r="H11" s="115"/>
      <c r="I11" s="116"/>
      <c r="J11" s="105"/>
      <c r="K11" s="105"/>
      <c r="L11" s="105"/>
      <c r="M11" s="105"/>
      <c r="N11" s="105"/>
      <c r="O11" s="105"/>
      <c r="P11" s="105"/>
      <c r="Q11" s="91"/>
      <c r="R11" s="91"/>
      <c r="S11" s="91"/>
      <c r="T11" s="91"/>
      <c r="U11" s="91"/>
      <c r="V11" s="91"/>
      <c r="W11" s="91"/>
      <c r="X11" s="91"/>
      <c r="Y11" s="101"/>
      <c r="AA11" s="117"/>
      <c r="AB11" s="107"/>
    </row>
    <row r="12" spans="1:29" ht="12.95" customHeight="1">
      <c r="B12" s="99"/>
      <c r="C12" s="100"/>
      <c r="D12" s="101"/>
      <c r="E12" s="81"/>
      <c r="F12" s="118" t="s">
        <v>183</v>
      </c>
      <c r="G12" s="114">
        <f>ROUND(5*A8/1000,0)</f>
        <v>1</v>
      </c>
      <c r="H12" s="119"/>
      <c r="I12" s="120"/>
      <c r="J12" s="105"/>
      <c r="K12" s="105"/>
      <c r="L12" s="105"/>
      <c r="M12" s="105"/>
      <c r="N12" s="105"/>
      <c r="O12" s="105"/>
      <c r="P12" s="105"/>
      <c r="Q12" s="100"/>
      <c r="R12" s="100"/>
      <c r="S12" s="100"/>
      <c r="T12" s="100"/>
      <c r="U12" s="100"/>
      <c r="V12" s="100"/>
      <c r="W12" s="100"/>
      <c r="X12" s="100"/>
      <c r="Y12" s="101"/>
      <c r="AA12" s="106"/>
      <c r="AB12" s="107"/>
    </row>
    <row r="13" spans="1:29" ht="12.95" customHeight="1">
      <c r="B13" s="99"/>
      <c r="C13" s="100"/>
      <c r="D13" s="101"/>
      <c r="E13" s="87"/>
      <c r="F13" s="118" t="s">
        <v>181</v>
      </c>
      <c r="G13" s="121">
        <f>ROUND(5*A8/1000,1)</f>
        <v>1.3</v>
      </c>
      <c r="H13" s="119"/>
      <c r="I13" s="122"/>
      <c r="J13" s="105"/>
      <c r="K13" s="105"/>
      <c r="L13" s="105"/>
      <c r="M13" s="105"/>
      <c r="N13" s="105"/>
      <c r="O13" s="105"/>
      <c r="P13" s="105"/>
      <c r="Q13" s="112"/>
      <c r="R13" s="112"/>
      <c r="S13" s="112"/>
      <c r="T13" s="112"/>
      <c r="U13" s="112"/>
      <c r="V13" s="112"/>
      <c r="W13" s="112"/>
      <c r="X13" s="112"/>
      <c r="Y13" s="101"/>
      <c r="AA13" s="117"/>
      <c r="AB13" s="107"/>
    </row>
    <row r="14" spans="1:29" ht="12.95" customHeight="1">
      <c r="B14" s="99"/>
      <c r="C14" s="100"/>
      <c r="D14" s="101"/>
      <c r="E14" s="93" t="s">
        <v>246</v>
      </c>
      <c r="F14" s="123" t="s">
        <v>247</v>
      </c>
      <c r="G14" s="124">
        <f>80*A8/1000</f>
        <v>21.52</v>
      </c>
      <c r="H14" s="125"/>
      <c r="I14" s="120"/>
      <c r="J14" s="105"/>
      <c r="K14" s="105"/>
      <c r="L14" s="105"/>
      <c r="M14" s="105"/>
      <c r="N14" s="105"/>
      <c r="O14" s="105"/>
      <c r="P14" s="105"/>
      <c r="Q14" s="91"/>
      <c r="R14" s="91"/>
      <c r="S14" s="91"/>
      <c r="T14" s="91"/>
      <c r="U14" s="91"/>
      <c r="V14" s="91"/>
      <c r="W14" s="91"/>
      <c r="X14" s="91"/>
      <c r="Y14" s="101"/>
      <c r="AA14" s="106"/>
      <c r="AB14" s="107"/>
    </row>
    <row r="15" spans="1:29" ht="12.95" customHeight="1">
      <c r="B15" s="99"/>
      <c r="C15" s="100"/>
      <c r="D15" s="101"/>
      <c r="E15" s="102"/>
      <c r="F15" s="113" t="s">
        <v>248</v>
      </c>
      <c r="G15" s="114">
        <v>3</v>
      </c>
      <c r="H15" s="115"/>
      <c r="I15" s="120"/>
      <c r="J15" s="105"/>
      <c r="K15" s="105"/>
      <c r="L15" s="105"/>
      <c r="M15" s="105"/>
      <c r="N15" s="105"/>
      <c r="O15" s="105"/>
      <c r="P15" s="105"/>
      <c r="Q15" s="100"/>
      <c r="R15" s="100"/>
      <c r="S15" s="100"/>
      <c r="T15" s="100"/>
      <c r="U15" s="100"/>
      <c r="V15" s="100"/>
      <c r="W15" s="100"/>
      <c r="X15" s="100"/>
      <c r="Y15" s="101"/>
      <c r="AA15" s="106"/>
      <c r="AB15" s="107"/>
    </row>
    <row r="16" spans="1:29" ht="12.95" customHeight="1">
      <c r="B16" s="99"/>
      <c r="C16" s="100"/>
      <c r="D16" s="101"/>
      <c r="E16" s="108"/>
      <c r="F16" s="126"/>
      <c r="G16" s="122"/>
      <c r="H16" s="126"/>
      <c r="I16" s="122"/>
      <c r="J16" s="105"/>
      <c r="K16" s="105"/>
      <c r="L16" s="105"/>
      <c r="M16" s="105"/>
      <c r="N16" s="105"/>
      <c r="O16" s="105"/>
      <c r="P16" s="105"/>
      <c r="Q16" s="112"/>
      <c r="R16" s="112"/>
      <c r="S16" s="112"/>
      <c r="T16" s="112"/>
      <c r="U16" s="112"/>
      <c r="V16" s="112"/>
      <c r="W16" s="112"/>
      <c r="X16" s="112"/>
      <c r="Y16" s="101"/>
      <c r="AA16" s="106"/>
      <c r="AB16" s="107"/>
    </row>
    <row r="17" spans="1:33" ht="12.95" customHeight="1">
      <c r="B17" s="99"/>
      <c r="C17" s="100"/>
      <c r="D17" s="101"/>
      <c r="E17" s="93" t="s">
        <v>354</v>
      </c>
      <c r="F17" s="123" t="s">
        <v>355</v>
      </c>
      <c r="G17" s="127" t="s">
        <v>356</v>
      </c>
      <c r="H17" s="128"/>
      <c r="I17" s="129"/>
      <c r="J17" s="105"/>
      <c r="K17" s="105"/>
      <c r="L17" s="105"/>
      <c r="M17" s="105"/>
      <c r="N17" s="105"/>
      <c r="O17" s="105"/>
      <c r="P17" s="105"/>
      <c r="Q17" s="91"/>
      <c r="R17" s="91"/>
      <c r="S17" s="91"/>
      <c r="T17" s="91"/>
      <c r="U17" s="91"/>
      <c r="V17" s="91"/>
      <c r="W17" s="91"/>
      <c r="X17" s="91"/>
      <c r="Y17" s="101"/>
      <c r="AA17" s="106"/>
      <c r="AB17" s="107"/>
      <c r="AC17" s="62"/>
    </row>
    <row r="18" spans="1:33" ht="12.95" customHeight="1">
      <c r="B18" s="99"/>
      <c r="C18" s="100"/>
      <c r="D18" s="101"/>
      <c r="E18" s="81"/>
      <c r="F18" s="118" t="s">
        <v>357</v>
      </c>
      <c r="G18" s="121">
        <f>6*A8/1000</f>
        <v>1.6140000000000001</v>
      </c>
      <c r="H18" s="130"/>
      <c r="I18" s="131"/>
      <c r="J18" s="105"/>
      <c r="K18" s="105"/>
      <c r="L18" s="105"/>
      <c r="M18" s="105"/>
      <c r="N18" s="105"/>
      <c r="O18" s="105"/>
      <c r="P18" s="105"/>
      <c r="Q18" s="100"/>
      <c r="R18" s="100"/>
      <c r="S18" s="100"/>
      <c r="T18" s="100"/>
      <c r="U18" s="100"/>
      <c r="V18" s="100"/>
      <c r="W18" s="100"/>
      <c r="X18" s="100"/>
      <c r="Y18" s="101"/>
      <c r="AA18" s="106"/>
      <c r="AB18" s="107"/>
      <c r="AC18" s="62"/>
    </row>
    <row r="19" spans="1:33" ht="13.5" customHeight="1">
      <c r="B19" s="132"/>
      <c r="C19" s="112"/>
      <c r="D19" s="133"/>
      <c r="E19" s="87"/>
      <c r="F19" s="134"/>
      <c r="G19" s="135"/>
      <c r="H19" s="134"/>
      <c r="I19" s="136"/>
      <c r="J19" s="137"/>
      <c r="K19" s="137"/>
      <c r="L19" s="137"/>
      <c r="M19" s="137"/>
      <c r="N19" s="137"/>
      <c r="O19" s="137"/>
      <c r="P19" s="137"/>
      <c r="Q19" s="112"/>
      <c r="R19" s="112"/>
      <c r="S19" s="112"/>
      <c r="T19" s="112"/>
      <c r="U19" s="112"/>
      <c r="V19" s="112"/>
      <c r="W19" s="112"/>
      <c r="X19" s="112"/>
      <c r="Y19" s="133"/>
      <c r="AA19" s="106"/>
      <c r="AB19" s="62"/>
      <c r="AC19" s="62"/>
    </row>
    <row r="20" spans="1:33" s="145" customFormat="1" ht="12.95" customHeight="1">
      <c r="A20" s="138"/>
      <c r="B20" s="139" t="s">
        <v>66</v>
      </c>
      <c r="C20" s="140"/>
      <c r="D20" s="141"/>
      <c r="E20" s="142" t="s">
        <v>368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4"/>
      <c r="AA20" s="146"/>
      <c r="AB20" s="62"/>
      <c r="AC20" s="62"/>
      <c r="AD20" s="58"/>
      <c r="AE20" s="58"/>
      <c r="AF20" s="58"/>
      <c r="AG20" s="58"/>
    </row>
    <row r="21" spans="1:33" ht="12.95" customHeight="1">
      <c r="A21" s="147">
        <v>269</v>
      </c>
      <c r="B21" s="90">
        <v>43928</v>
      </c>
      <c r="C21" s="91" t="s">
        <v>48</v>
      </c>
      <c r="D21" s="92" t="s">
        <v>140</v>
      </c>
      <c r="E21" s="93" t="s">
        <v>425</v>
      </c>
      <c r="F21" s="123" t="s">
        <v>415</v>
      </c>
      <c r="G21" s="124" t="s">
        <v>299</v>
      </c>
      <c r="H21" s="148" t="s">
        <v>413</v>
      </c>
      <c r="I21" s="149">
        <v>0.2</v>
      </c>
      <c r="J21" s="96">
        <v>6.2</v>
      </c>
      <c r="K21" s="96">
        <v>1.8</v>
      </c>
      <c r="L21" s="96">
        <v>0</v>
      </c>
      <c r="M21" s="96">
        <v>2.2999999999999998</v>
      </c>
      <c r="N21" s="96">
        <v>0</v>
      </c>
      <c r="O21" s="96">
        <v>3</v>
      </c>
      <c r="P21" s="96">
        <f>SUM(J21*70+K21*75+L21*120+M21*25+N21*60+O21*45)</f>
        <v>761.5</v>
      </c>
      <c r="Q21" s="91"/>
      <c r="R21" s="91"/>
      <c r="S21" s="91"/>
      <c r="T21" s="91"/>
      <c r="U21" s="91"/>
      <c r="V21" s="91"/>
      <c r="W21" s="91"/>
      <c r="X21" s="91"/>
      <c r="Y21" s="92"/>
      <c r="AA21" s="106"/>
      <c r="AB21" s="62"/>
      <c r="AC21" s="62"/>
    </row>
    <row r="22" spans="1:33" ht="12.95" customHeight="1">
      <c r="A22" s="150"/>
      <c r="B22" s="99"/>
      <c r="C22" s="100"/>
      <c r="D22" s="101"/>
      <c r="E22" s="102"/>
      <c r="F22" s="54" t="s">
        <v>414</v>
      </c>
      <c r="G22" s="149">
        <v>0.2</v>
      </c>
      <c r="H22" s="54"/>
      <c r="I22" s="55"/>
      <c r="J22" s="105"/>
      <c r="K22" s="105"/>
      <c r="L22" s="105"/>
      <c r="M22" s="105"/>
      <c r="N22" s="105"/>
      <c r="O22" s="105"/>
      <c r="P22" s="105"/>
      <c r="Q22" s="100"/>
      <c r="R22" s="100"/>
      <c r="S22" s="100"/>
      <c r="T22" s="100"/>
      <c r="U22" s="100"/>
      <c r="V22" s="100"/>
      <c r="W22" s="100"/>
      <c r="X22" s="100"/>
      <c r="Y22" s="100"/>
      <c r="AA22" s="106"/>
      <c r="AB22" s="107"/>
      <c r="AC22" s="62"/>
    </row>
    <row r="23" spans="1:33" ht="12.95" customHeight="1">
      <c r="A23" s="150"/>
      <c r="B23" s="99"/>
      <c r="C23" s="100"/>
      <c r="D23" s="101"/>
      <c r="E23" s="108"/>
      <c r="F23" s="126" t="s">
        <v>241</v>
      </c>
      <c r="G23" s="120">
        <f>ROUND(13.4*A21/1000,1)</f>
        <v>3.6</v>
      </c>
      <c r="H23" s="48"/>
      <c r="I23" s="49"/>
      <c r="J23" s="105"/>
      <c r="K23" s="105"/>
      <c r="L23" s="105"/>
      <c r="M23" s="105"/>
      <c r="N23" s="105"/>
      <c r="O23" s="105"/>
      <c r="P23" s="105"/>
      <c r="Q23" s="112"/>
      <c r="R23" s="112"/>
      <c r="S23" s="112"/>
      <c r="T23" s="112"/>
      <c r="U23" s="112"/>
      <c r="V23" s="112"/>
      <c r="W23" s="112"/>
      <c r="X23" s="112"/>
      <c r="Y23" s="100"/>
      <c r="AA23" s="106"/>
      <c r="AB23" s="107"/>
      <c r="AC23" s="62"/>
    </row>
    <row r="24" spans="1:33" ht="12.95" customHeight="1">
      <c r="A24" s="150"/>
      <c r="B24" s="99"/>
      <c r="C24" s="100"/>
      <c r="D24" s="101"/>
      <c r="E24" s="151" t="s">
        <v>300</v>
      </c>
      <c r="F24" s="152" t="s">
        <v>156</v>
      </c>
      <c r="G24" s="116">
        <f>ROUND(25*A21/1000,0)</f>
        <v>7</v>
      </c>
      <c r="H24" s="153" t="s">
        <v>157</v>
      </c>
      <c r="I24" s="120">
        <v>0.2</v>
      </c>
      <c r="J24" s="105"/>
      <c r="K24" s="105"/>
      <c r="L24" s="105"/>
      <c r="M24" s="105"/>
      <c r="N24" s="105"/>
      <c r="O24" s="105"/>
      <c r="P24" s="105"/>
      <c r="Q24" s="91"/>
      <c r="R24" s="91"/>
      <c r="S24" s="91"/>
      <c r="T24" s="91"/>
      <c r="U24" s="91"/>
      <c r="V24" s="91"/>
      <c r="W24" s="91"/>
      <c r="X24" s="91"/>
      <c r="Y24" s="100"/>
      <c r="AA24" s="106"/>
      <c r="AB24" s="107"/>
      <c r="AC24" s="62"/>
    </row>
    <row r="25" spans="1:33" ht="12.95" customHeight="1">
      <c r="A25" s="150"/>
      <c r="B25" s="99"/>
      <c r="C25" s="100"/>
      <c r="D25" s="101"/>
      <c r="E25" s="154"/>
      <c r="F25" s="115" t="s">
        <v>158</v>
      </c>
      <c r="G25" s="120">
        <f>ROUND(26.7*A21/1000,1)</f>
        <v>7.2</v>
      </c>
      <c r="H25" s="152"/>
      <c r="I25" s="120"/>
      <c r="J25" s="105"/>
      <c r="K25" s="105"/>
      <c r="L25" s="105"/>
      <c r="M25" s="105"/>
      <c r="N25" s="105"/>
      <c r="O25" s="105"/>
      <c r="P25" s="105"/>
      <c r="Q25" s="100"/>
      <c r="R25" s="100"/>
      <c r="S25" s="100"/>
      <c r="T25" s="100"/>
      <c r="U25" s="100"/>
      <c r="V25" s="100"/>
      <c r="W25" s="100"/>
      <c r="X25" s="100"/>
      <c r="Y25" s="100"/>
      <c r="AA25" s="106"/>
      <c r="AB25" s="107"/>
      <c r="AC25" s="62"/>
    </row>
    <row r="26" spans="1:33" ht="12.95" customHeight="1">
      <c r="A26" s="150"/>
      <c r="B26" s="99"/>
      <c r="C26" s="100"/>
      <c r="D26" s="101"/>
      <c r="E26" s="155"/>
      <c r="F26" s="156" t="s">
        <v>159</v>
      </c>
      <c r="G26" s="122">
        <f>ROUND(33.5*A21/1000,0)</f>
        <v>9</v>
      </c>
      <c r="H26" s="156"/>
      <c r="I26" s="122"/>
      <c r="J26" s="105"/>
      <c r="K26" s="105"/>
      <c r="L26" s="105"/>
      <c r="M26" s="105"/>
      <c r="N26" s="105"/>
      <c r="O26" s="105"/>
      <c r="P26" s="105"/>
      <c r="Q26" s="112"/>
      <c r="R26" s="112"/>
      <c r="S26" s="112"/>
      <c r="T26" s="112"/>
      <c r="U26" s="112"/>
      <c r="V26" s="112"/>
      <c r="W26" s="112"/>
      <c r="X26" s="112"/>
      <c r="Y26" s="100"/>
      <c r="AA26" s="106"/>
      <c r="AB26" s="107"/>
      <c r="AC26" s="62"/>
    </row>
    <row r="27" spans="1:33" ht="12.95" customHeight="1">
      <c r="A27" s="150"/>
      <c r="B27" s="99"/>
      <c r="C27" s="100"/>
      <c r="D27" s="101"/>
      <c r="E27" s="93" t="s">
        <v>246</v>
      </c>
      <c r="F27" s="123" t="s">
        <v>133</v>
      </c>
      <c r="G27" s="124">
        <v>22</v>
      </c>
      <c r="H27" s="94"/>
      <c r="I27" s="157"/>
      <c r="J27" s="105"/>
      <c r="K27" s="105"/>
      <c r="L27" s="105"/>
      <c r="M27" s="105"/>
      <c r="N27" s="105"/>
      <c r="O27" s="105"/>
      <c r="P27" s="105"/>
      <c r="Q27" s="91"/>
      <c r="R27" s="91"/>
      <c r="S27" s="91"/>
      <c r="T27" s="91"/>
      <c r="U27" s="91"/>
      <c r="V27" s="91"/>
      <c r="W27" s="91"/>
      <c r="X27" s="91"/>
      <c r="Y27" s="100"/>
      <c r="AA27" s="107"/>
      <c r="AB27" s="107"/>
      <c r="AC27" s="62"/>
    </row>
    <row r="28" spans="1:33" ht="12.95" customHeight="1">
      <c r="A28" s="150"/>
      <c r="B28" s="99"/>
      <c r="C28" s="100"/>
      <c r="D28" s="101"/>
      <c r="E28" s="102"/>
      <c r="F28" s="113" t="s">
        <v>121</v>
      </c>
      <c r="G28" s="135" t="s">
        <v>249</v>
      </c>
      <c r="H28" s="103"/>
      <c r="I28" s="131"/>
      <c r="J28" s="105"/>
      <c r="K28" s="105"/>
      <c r="L28" s="105"/>
      <c r="M28" s="105"/>
      <c r="N28" s="105"/>
      <c r="O28" s="105"/>
      <c r="P28" s="105"/>
      <c r="Q28" s="100"/>
      <c r="R28" s="100"/>
      <c r="S28" s="100"/>
      <c r="T28" s="100"/>
      <c r="U28" s="100"/>
      <c r="V28" s="100"/>
      <c r="W28" s="100"/>
      <c r="X28" s="100"/>
      <c r="Y28" s="100"/>
      <c r="AA28" s="107"/>
      <c r="AB28" s="107"/>
      <c r="AC28" s="62"/>
    </row>
    <row r="29" spans="1:33" ht="12.95" customHeight="1">
      <c r="A29" s="150"/>
      <c r="B29" s="99"/>
      <c r="C29" s="100"/>
      <c r="D29" s="101"/>
      <c r="E29" s="108"/>
      <c r="F29" s="126"/>
      <c r="G29" s="122"/>
      <c r="H29" s="109"/>
      <c r="I29" s="136"/>
      <c r="J29" s="105"/>
      <c r="K29" s="105"/>
      <c r="L29" s="105"/>
      <c r="M29" s="105"/>
      <c r="N29" s="105"/>
      <c r="O29" s="105"/>
      <c r="P29" s="105"/>
      <c r="Q29" s="112"/>
      <c r="R29" s="112"/>
      <c r="S29" s="112"/>
      <c r="T29" s="112"/>
      <c r="U29" s="112"/>
      <c r="V29" s="112"/>
      <c r="W29" s="112"/>
      <c r="X29" s="112"/>
      <c r="Y29" s="100"/>
      <c r="AA29" s="106"/>
      <c r="AB29" s="107"/>
      <c r="AC29" s="62"/>
    </row>
    <row r="30" spans="1:33" ht="12.95" customHeight="1">
      <c r="A30" s="150"/>
      <c r="B30" s="99"/>
      <c r="C30" s="100"/>
      <c r="D30" s="101"/>
      <c r="E30" s="93" t="s">
        <v>307</v>
      </c>
      <c r="F30" s="158" t="s">
        <v>308</v>
      </c>
      <c r="G30" s="159">
        <v>12</v>
      </c>
      <c r="H30" s="128"/>
      <c r="I30" s="116"/>
      <c r="J30" s="105"/>
      <c r="K30" s="105"/>
      <c r="L30" s="105"/>
      <c r="M30" s="105"/>
      <c r="N30" s="105"/>
      <c r="O30" s="105"/>
      <c r="P30" s="105"/>
      <c r="Q30" s="91"/>
      <c r="R30" s="91"/>
      <c r="S30" s="91"/>
      <c r="T30" s="91"/>
      <c r="U30" s="91"/>
      <c r="V30" s="91"/>
      <c r="W30" s="91"/>
      <c r="X30" s="91"/>
      <c r="Y30" s="100"/>
      <c r="AA30" s="106"/>
      <c r="AC30" s="62"/>
    </row>
    <row r="31" spans="1:33" ht="12.95" customHeight="1">
      <c r="A31" s="150"/>
      <c r="B31" s="99"/>
      <c r="C31" s="100"/>
      <c r="D31" s="101"/>
      <c r="E31" s="102"/>
      <c r="F31" s="113" t="s">
        <v>309</v>
      </c>
      <c r="G31" s="114">
        <v>3</v>
      </c>
      <c r="H31" s="130"/>
      <c r="I31" s="160"/>
      <c r="J31" s="105"/>
      <c r="K31" s="105"/>
      <c r="L31" s="105"/>
      <c r="M31" s="105"/>
      <c r="N31" s="105"/>
      <c r="O31" s="105"/>
      <c r="P31" s="105"/>
      <c r="Q31" s="100"/>
      <c r="R31" s="100"/>
      <c r="S31" s="100"/>
      <c r="T31" s="100"/>
      <c r="U31" s="100"/>
      <c r="V31" s="100"/>
      <c r="W31" s="100"/>
      <c r="X31" s="100"/>
      <c r="Y31" s="100"/>
      <c r="AA31" s="106"/>
      <c r="AB31" s="107"/>
      <c r="AC31" s="62"/>
    </row>
    <row r="32" spans="1:33" ht="12.95" customHeight="1">
      <c r="A32" s="150"/>
      <c r="B32" s="132"/>
      <c r="C32" s="112"/>
      <c r="D32" s="133"/>
      <c r="E32" s="108"/>
      <c r="F32" s="161"/>
      <c r="G32" s="162"/>
      <c r="H32" s="134"/>
      <c r="I32" s="163"/>
      <c r="J32" s="137"/>
      <c r="K32" s="137"/>
      <c r="L32" s="137"/>
      <c r="M32" s="137"/>
      <c r="N32" s="137"/>
      <c r="O32" s="137"/>
      <c r="P32" s="137"/>
      <c r="Q32" s="112"/>
      <c r="R32" s="112"/>
      <c r="S32" s="112"/>
      <c r="T32" s="112"/>
      <c r="U32" s="112"/>
      <c r="V32" s="112"/>
      <c r="W32" s="112"/>
      <c r="X32" s="112"/>
      <c r="Y32" s="112"/>
      <c r="AA32" s="106"/>
      <c r="AB32" s="106"/>
      <c r="AC32" s="62"/>
    </row>
    <row r="33" spans="1:40" s="145" customFormat="1" ht="12.95" customHeight="1">
      <c r="A33" s="164"/>
      <c r="B33" s="139" t="s">
        <v>66</v>
      </c>
      <c r="C33" s="140"/>
      <c r="D33" s="141"/>
      <c r="E33" s="165" t="s">
        <v>67</v>
      </c>
      <c r="F33" s="166"/>
      <c r="G33" s="166"/>
      <c r="H33" s="166"/>
      <c r="I33" s="166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8"/>
      <c r="AA33" s="169"/>
      <c r="AB33" s="107"/>
      <c r="AC33" s="62"/>
    </row>
    <row r="34" spans="1:40" ht="12.95" customHeight="1">
      <c r="A34" s="147">
        <v>269</v>
      </c>
      <c r="B34" s="90">
        <v>43929</v>
      </c>
      <c r="C34" s="91" t="s">
        <v>49</v>
      </c>
      <c r="D34" s="92" t="s">
        <v>412</v>
      </c>
      <c r="E34" s="170" t="s">
        <v>383</v>
      </c>
      <c r="F34" s="171" t="s">
        <v>384</v>
      </c>
      <c r="G34" s="172">
        <v>1.8</v>
      </c>
      <c r="H34" s="171" t="s">
        <v>227</v>
      </c>
      <c r="I34" s="173">
        <f>18*A34/1000</f>
        <v>4.8419999999999996</v>
      </c>
      <c r="J34" s="174">
        <v>5</v>
      </c>
      <c r="K34" s="96">
        <v>1.2</v>
      </c>
      <c r="L34" s="96">
        <v>0</v>
      </c>
      <c r="M34" s="96">
        <v>1.6</v>
      </c>
      <c r="N34" s="96">
        <v>1</v>
      </c>
      <c r="O34" s="96">
        <v>2.5</v>
      </c>
      <c r="P34" s="96">
        <f>SUM(J34*70+K34*75+L34*120+M34*25+N34*60+O34*45)</f>
        <v>652.5</v>
      </c>
      <c r="Q34" s="91"/>
      <c r="R34" s="91"/>
      <c r="S34" s="91"/>
      <c r="T34" s="91"/>
      <c r="U34" s="91"/>
      <c r="V34" s="91"/>
      <c r="W34" s="91"/>
      <c r="X34" s="91"/>
      <c r="Y34" s="91"/>
      <c r="AA34" s="106"/>
      <c r="AB34" s="107"/>
      <c r="AC34" s="62"/>
      <c r="AD34" s="62"/>
      <c r="AE34" s="62"/>
      <c r="AF34" s="62"/>
      <c r="AG34" s="62"/>
    </row>
    <row r="35" spans="1:40" ht="12.95" customHeight="1">
      <c r="A35" s="150"/>
      <c r="B35" s="99"/>
      <c r="C35" s="100"/>
      <c r="D35" s="101"/>
      <c r="E35" s="175"/>
      <c r="F35" s="176" t="s">
        <v>200</v>
      </c>
      <c r="G35" s="177">
        <f>24*A34/1000</f>
        <v>6.4560000000000004</v>
      </c>
      <c r="H35" s="176" t="s">
        <v>385</v>
      </c>
      <c r="I35" s="177">
        <v>6</v>
      </c>
      <c r="J35" s="178"/>
      <c r="K35" s="105"/>
      <c r="L35" s="105"/>
      <c r="M35" s="105"/>
      <c r="N35" s="105"/>
      <c r="O35" s="105"/>
      <c r="P35" s="105"/>
      <c r="Q35" s="100"/>
      <c r="R35" s="100"/>
      <c r="S35" s="100"/>
      <c r="T35" s="100"/>
      <c r="U35" s="100"/>
      <c r="V35" s="100"/>
      <c r="W35" s="100"/>
      <c r="X35" s="100"/>
      <c r="Y35" s="100"/>
      <c r="AA35" s="106"/>
      <c r="AB35" s="107"/>
      <c r="AC35" s="62"/>
      <c r="AD35" s="62"/>
      <c r="AE35" s="62"/>
      <c r="AF35" s="62"/>
      <c r="AG35" s="62"/>
    </row>
    <row r="36" spans="1:40" ht="12.95" customHeight="1">
      <c r="A36" s="150"/>
      <c r="B36" s="99"/>
      <c r="C36" s="100"/>
      <c r="D36" s="101"/>
      <c r="E36" s="175"/>
      <c r="F36" s="176" t="s">
        <v>303</v>
      </c>
      <c r="G36" s="177">
        <f>8*A34/1000</f>
        <v>2.1520000000000001</v>
      </c>
      <c r="H36" s="176" t="s">
        <v>386</v>
      </c>
      <c r="I36" s="177">
        <v>2</v>
      </c>
      <c r="J36" s="178"/>
      <c r="K36" s="105"/>
      <c r="L36" s="105"/>
      <c r="M36" s="105"/>
      <c r="N36" s="105"/>
      <c r="O36" s="105"/>
      <c r="P36" s="105"/>
      <c r="Q36" s="100"/>
      <c r="R36" s="100"/>
      <c r="S36" s="100"/>
      <c r="T36" s="100"/>
      <c r="U36" s="100"/>
      <c r="V36" s="100"/>
      <c r="W36" s="100"/>
      <c r="X36" s="100"/>
      <c r="Y36" s="100"/>
      <c r="AA36" s="106"/>
      <c r="AB36" s="107"/>
      <c r="AC36" s="62"/>
      <c r="AD36" s="62"/>
      <c r="AE36" s="62"/>
      <c r="AF36" s="62"/>
      <c r="AG36" s="62"/>
    </row>
    <row r="37" spans="1:40" ht="12.95" customHeight="1">
      <c r="A37" s="150"/>
      <c r="B37" s="99"/>
      <c r="C37" s="100"/>
      <c r="D37" s="100"/>
      <c r="E37" s="175"/>
      <c r="F37" s="179" t="s">
        <v>389</v>
      </c>
      <c r="G37" s="162">
        <v>1</v>
      </c>
      <c r="H37" s="162"/>
      <c r="I37" s="162"/>
      <c r="J37" s="178"/>
      <c r="K37" s="105"/>
      <c r="L37" s="105"/>
      <c r="M37" s="105"/>
      <c r="N37" s="105"/>
      <c r="O37" s="105"/>
      <c r="P37" s="105"/>
      <c r="Q37" s="100"/>
      <c r="R37" s="100"/>
      <c r="S37" s="100"/>
      <c r="T37" s="100"/>
      <c r="U37" s="100"/>
      <c r="V37" s="100"/>
      <c r="W37" s="100"/>
      <c r="X37" s="100"/>
      <c r="Y37" s="100"/>
      <c r="AA37" s="106"/>
      <c r="AB37" s="107"/>
      <c r="AC37" s="62"/>
      <c r="AD37" s="62"/>
      <c r="AE37" s="62"/>
      <c r="AF37" s="62"/>
      <c r="AG37" s="62"/>
    </row>
    <row r="38" spans="1:40" ht="12.95" customHeight="1">
      <c r="A38" s="150"/>
      <c r="B38" s="99"/>
      <c r="C38" s="100"/>
      <c r="D38" s="100"/>
      <c r="E38" s="93" t="s">
        <v>246</v>
      </c>
      <c r="F38" s="113" t="s">
        <v>407</v>
      </c>
      <c r="G38" s="121">
        <v>22</v>
      </c>
      <c r="H38" s="103"/>
      <c r="I38" s="131"/>
      <c r="J38" s="105"/>
      <c r="K38" s="105"/>
      <c r="L38" s="105"/>
      <c r="M38" s="105"/>
      <c r="N38" s="105"/>
      <c r="O38" s="105"/>
      <c r="P38" s="105"/>
      <c r="Q38" s="91"/>
      <c r="R38" s="91"/>
      <c r="S38" s="91"/>
      <c r="T38" s="91"/>
      <c r="U38" s="91"/>
      <c r="V38" s="91"/>
      <c r="W38" s="91"/>
      <c r="X38" s="91"/>
      <c r="Y38" s="100"/>
      <c r="AA38" s="106"/>
      <c r="AB38" s="107"/>
      <c r="AC38" s="62"/>
      <c r="AD38" s="62"/>
      <c r="AE38" s="62"/>
      <c r="AF38" s="62"/>
      <c r="AG38" s="62"/>
    </row>
    <row r="39" spans="1:40" ht="12.95" customHeight="1">
      <c r="A39" s="150"/>
      <c r="B39" s="99"/>
      <c r="C39" s="100"/>
      <c r="D39" s="100"/>
      <c r="E39" s="102"/>
      <c r="F39" s="113" t="s">
        <v>121</v>
      </c>
      <c r="G39" s="135" t="s">
        <v>249</v>
      </c>
      <c r="H39" s="103"/>
      <c r="I39" s="131"/>
      <c r="J39" s="105"/>
      <c r="K39" s="105"/>
      <c r="L39" s="105"/>
      <c r="M39" s="105"/>
      <c r="N39" s="105"/>
      <c r="O39" s="105"/>
      <c r="P39" s="105"/>
      <c r="Q39" s="100"/>
      <c r="R39" s="100"/>
      <c r="S39" s="100"/>
      <c r="T39" s="100"/>
      <c r="U39" s="100"/>
      <c r="V39" s="100"/>
      <c r="W39" s="100"/>
      <c r="X39" s="100"/>
      <c r="Y39" s="100"/>
      <c r="AA39" s="106"/>
      <c r="AB39" s="107"/>
      <c r="AC39" s="62"/>
      <c r="AD39" s="62"/>
      <c r="AE39" s="62"/>
      <c r="AF39" s="62"/>
      <c r="AG39" s="62"/>
    </row>
    <row r="40" spans="1:40" ht="12.95" customHeight="1">
      <c r="A40" s="150"/>
      <c r="B40" s="99"/>
      <c r="C40" s="100"/>
      <c r="D40" s="100"/>
      <c r="E40" s="108"/>
      <c r="F40" s="126"/>
      <c r="G40" s="122"/>
      <c r="H40" s="109"/>
      <c r="I40" s="136"/>
      <c r="J40" s="105"/>
      <c r="K40" s="105"/>
      <c r="L40" s="105"/>
      <c r="M40" s="105"/>
      <c r="N40" s="105"/>
      <c r="O40" s="105"/>
      <c r="P40" s="105"/>
      <c r="Q40" s="112"/>
      <c r="R40" s="112"/>
      <c r="S40" s="112"/>
      <c r="T40" s="112"/>
      <c r="U40" s="112"/>
      <c r="V40" s="112"/>
      <c r="W40" s="112"/>
      <c r="X40" s="112"/>
      <c r="Y40" s="100"/>
      <c r="AA40" s="106"/>
      <c r="AB40" s="107"/>
      <c r="AC40" s="62"/>
      <c r="AD40" s="62"/>
      <c r="AE40" s="62"/>
      <c r="AF40" s="62"/>
      <c r="AG40" s="62"/>
    </row>
    <row r="41" spans="1:40" ht="12.95" customHeight="1">
      <c r="A41" s="150"/>
      <c r="B41" s="99"/>
      <c r="C41" s="100"/>
      <c r="D41" s="100"/>
      <c r="E41" s="93" t="s">
        <v>330</v>
      </c>
      <c r="F41" s="158" t="s">
        <v>153</v>
      </c>
      <c r="G41" s="124">
        <f>15*A34/1000</f>
        <v>4.0350000000000001</v>
      </c>
      <c r="H41" s="94"/>
      <c r="I41" s="131"/>
      <c r="J41" s="105"/>
      <c r="K41" s="105"/>
      <c r="L41" s="105"/>
      <c r="M41" s="105"/>
      <c r="N41" s="105"/>
      <c r="O41" s="105"/>
      <c r="P41" s="105"/>
      <c r="Q41" s="91"/>
      <c r="R41" s="91"/>
      <c r="S41" s="91"/>
      <c r="T41" s="91"/>
      <c r="U41" s="91"/>
      <c r="V41" s="91"/>
      <c r="W41" s="91"/>
      <c r="X41" s="91"/>
      <c r="Y41" s="100"/>
      <c r="AA41" s="106"/>
      <c r="AB41" s="107"/>
      <c r="AC41" s="62"/>
      <c r="AD41" s="62"/>
      <c r="AE41" s="62"/>
      <c r="AF41" s="62"/>
      <c r="AG41" s="62"/>
    </row>
    <row r="42" spans="1:40" ht="12.95" customHeight="1">
      <c r="A42" s="150"/>
      <c r="B42" s="99"/>
      <c r="C42" s="100"/>
      <c r="D42" s="100"/>
      <c r="E42" s="81"/>
      <c r="F42" s="118" t="s">
        <v>154</v>
      </c>
      <c r="G42" s="121">
        <f>40*A34/1000</f>
        <v>10.76</v>
      </c>
      <c r="H42" s="103"/>
      <c r="I42" s="131"/>
      <c r="J42" s="105"/>
      <c r="K42" s="105"/>
      <c r="L42" s="105"/>
      <c r="M42" s="105"/>
      <c r="N42" s="105"/>
      <c r="O42" s="105"/>
      <c r="P42" s="105"/>
      <c r="Q42" s="100"/>
      <c r="R42" s="100"/>
      <c r="S42" s="100"/>
      <c r="T42" s="100"/>
      <c r="U42" s="100"/>
      <c r="V42" s="100"/>
      <c r="W42" s="100"/>
      <c r="X42" s="100"/>
      <c r="Y42" s="100"/>
      <c r="AA42" s="106"/>
      <c r="AB42" s="107"/>
      <c r="AC42" s="62"/>
      <c r="AD42" s="62"/>
      <c r="AE42" s="62"/>
      <c r="AF42" s="62"/>
      <c r="AG42" s="62"/>
    </row>
    <row r="43" spans="1:40" ht="12.95" customHeight="1">
      <c r="A43" s="150"/>
      <c r="B43" s="99"/>
      <c r="C43" s="100"/>
      <c r="D43" s="100"/>
      <c r="E43" s="87"/>
      <c r="F43" s="180" t="s">
        <v>319</v>
      </c>
      <c r="G43" s="181">
        <f>ROUND(0.5*A34/1000,1)</f>
        <v>0.1</v>
      </c>
      <c r="H43" s="109"/>
      <c r="I43" s="136"/>
      <c r="J43" s="105"/>
      <c r="K43" s="105"/>
      <c r="L43" s="105"/>
      <c r="M43" s="105"/>
      <c r="N43" s="105"/>
      <c r="O43" s="105"/>
      <c r="P43" s="105"/>
      <c r="Q43" s="112"/>
      <c r="R43" s="112"/>
      <c r="S43" s="112"/>
      <c r="T43" s="112"/>
      <c r="U43" s="112"/>
      <c r="V43" s="112"/>
      <c r="W43" s="112"/>
      <c r="X43" s="112"/>
      <c r="Y43" s="100"/>
      <c r="AA43" s="107"/>
      <c r="AB43" s="107"/>
      <c r="AC43" s="62"/>
      <c r="AD43" s="62"/>
      <c r="AE43" s="62"/>
      <c r="AF43" s="62"/>
      <c r="AG43" s="62"/>
    </row>
    <row r="44" spans="1:40" ht="12.95" customHeight="1">
      <c r="A44" s="150"/>
      <c r="B44" s="99"/>
      <c r="C44" s="100"/>
      <c r="D44" s="100"/>
      <c r="E44" s="93" t="s">
        <v>304</v>
      </c>
      <c r="F44" s="113" t="s">
        <v>305</v>
      </c>
      <c r="G44" s="182" t="s">
        <v>306</v>
      </c>
      <c r="H44" s="94"/>
      <c r="I44" s="157"/>
      <c r="J44" s="105"/>
      <c r="K44" s="105"/>
      <c r="L44" s="105"/>
      <c r="M44" s="105"/>
      <c r="N44" s="105"/>
      <c r="O44" s="105"/>
      <c r="P44" s="105"/>
      <c r="Q44" s="91"/>
      <c r="R44" s="91"/>
      <c r="S44" s="91"/>
      <c r="T44" s="91"/>
      <c r="U44" s="91"/>
      <c r="V44" s="91"/>
      <c r="W44" s="91"/>
      <c r="X44" s="91"/>
      <c r="Y44" s="100"/>
      <c r="AA44" s="107"/>
      <c r="AB44" s="107"/>
      <c r="AC44" s="62"/>
      <c r="AD44" s="62"/>
      <c r="AE44" s="62"/>
      <c r="AF44" s="62"/>
      <c r="AG44" s="62"/>
    </row>
    <row r="45" spans="1:40" ht="12.95" customHeight="1">
      <c r="A45" s="150"/>
      <c r="B45" s="99"/>
      <c r="C45" s="100"/>
      <c r="D45" s="100"/>
      <c r="E45" s="183"/>
      <c r="F45" s="184"/>
      <c r="G45" s="185"/>
      <c r="H45" s="103"/>
      <c r="I45" s="131"/>
      <c r="J45" s="105"/>
      <c r="K45" s="105"/>
      <c r="L45" s="105"/>
      <c r="M45" s="105"/>
      <c r="N45" s="105"/>
      <c r="O45" s="105"/>
      <c r="P45" s="105"/>
      <c r="Q45" s="100"/>
      <c r="R45" s="100"/>
      <c r="S45" s="100"/>
      <c r="T45" s="100"/>
      <c r="U45" s="100"/>
      <c r="V45" s="100"/>
      <c r="W45" s="100"/>
      <c r="X45" s="100"/>
      <c r="Y45" s="100"/>
      <c r="AA45" s="107"/>
      <c r="AB45" s="107"/>
      <c r="AC45" s="62"/>
      <c r="AD45" s="62"/>
      <c r="AE45" s="62"/>
      <c r="AF45" s="62"/>
      <c r="AG45" s="62"/>
    </row>
    <row r="46" spans="1:40" s="145" customFormat="1" ht="12.95" customHeight="1">
      <c r="A46" s="164"/>
      <c r="B46" s="132"/>
      <c r="C46" s="112"/>
      <c r="D46" s="112"/>
      <c r="E46" s="186"/>
      <c r="F46" s="187"/>
      <c r="G46" s="162"/>
      <c r="H46" s="109"/>
      <c r="I46" s="136"/>
      <c r="J46" s="137"/>
      <c r="K46" s="137"/>
      <c r="L46" s="137"/>
      <c r="M46" s="137"/>
      <c r="N46" s="137"/>
      <c r="O46" s="137"/>
      <c r="P46" s="137"/>
      <c r="Q46" s="112"/>
      <c r="R46" s="112"/>
      <c r="S46" s="112"/>
      <c r="T46" s="112"/>
      <c r="U46" s="112"/>
      <c r="V46" s="112"/>
      <c r="W46" s="112"/>
      <c r="X46" s="112"/>
      <c r="Y46" s="112"/>
      <c r="AA46" s="188"/>
      <c r="AB46" s="10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</row>
    <row r="47" spans="1:40" ht="12.95" customHeight="1">
      <c r="A47" s="147"/>
      <c r="B47" s="139" t="s">
        <v>66</v>
      </c>
      <c r="C47" s="140"/>
      <c r="D47" s="141"/>
      <c r="E47" s="142" t="s">
        <v>369</v>
      </c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8"/>
      <c r="AA47" s="106"/>
      <c r="AB47" s="107"/>
    </row>
    <row r="48" spans="1:40" ht="12.95" customHeight="1">
      <c r="A48" s="147">
        <v>269</v>
      </c>
      <c r="B48" s="90">
        <v>43930</v>
      </c>
      <c r="C48" s="91" t="s">
        <v>41</v>
      </c>
      <c r="D48" s="92" t="s">
        <v>140</v>
      </c>
      <c r="E48" s="93" t="s">
        <v>256</v>
      </c>
      <c r="F48" s="94" t="s">
        <v>257</v>
      </c>
      <c r="G48" s="157">
        <f>ROUND(55.3*A48/1000,0)</f>
        <v>15</v>
      </c>
      <c r="H48" s="125" t="s">
        <v>243</v>
      </c>
      <c r="I48" s="116">
        <f>ROUND(13*A48/1000,0)</f>
        <v>3</v>
      </c>
      <c r="J48" s="96">
        <v>7.2</v>
      </c>
      <c r="K48" s="96">
        <v>2.2000000000000002</v>
      </c>
      <c r="L48" s="96">
        <v>0</v>
      </c>
      <c r="M48" s="96">
        <v>2.2000000000000002</v>
      </c>
      <c r="N48" s="96">
        <v>0.2</v>
      </c>
      <c r="O48" s="96">
        <v>2.5</v>
      </c>
      <c r="P48" s="96">
        <f>SUM(J48*70+K48*75+L48*120+M48*25+N48*60+O48*45)</f>
        <v>848.5</v>
      </c>
      <c r="Q48" s="91"/>
      <c r="R48" s="91"/>
      <c r="S48" s="91"/>
      <c r="T48" s="91"/>
      <c r="U48" s="91"/>
      <c r="V48" s="91"/>
      <c r="W48" s="91"/>
      <c r="X48" s="91"/>
      <c r="Y48" s="74"/>
      <c r="AA48" s="106"/>
      <c r="AB48" s="107"/>
    </row>
    <row r="49" spans="1:40" ht="12.95" customHeight="1">
      <c r="A49" s="150"/>
      <c r="B49" s="99"/>
      <c r="C49" s="100"/>
      <c r="D49" s="101"/>
      <c r="E49" s="102"/>
      <c r="F49" s="115" t="s">
        <v>258</v>
      </c>
      <c r="G49" s="120">
        <f>ROUND(10*A48/1000,0)</f>
        <v>3</v>
      </c>
      <c r="H49" s="115" t="s">
        <v>259</v>
      </c>
      <c r="I49" s="120" t="s">
        <v>260</v>
      </c>
      <c r="J49" s="105"/>
      <c r="K49" s="105"/>
      <c r="L49" s="105"/>
      <c r="M49" s="105"/>
      <c r="N49" s="105"/>
      <c r="O49" s="105"/>
      <c r="P49" s="105"/>
      <c r="Q49" s="100"/>
      <c r="R49" s="100"/>
      <c r="S49" s="100"/>
      <c r="T49" s="100"/>
      <c r="U49" s="100"/>
      <c r="V49" s="100"/>
      <c r="W49" s="100"/>
      <c r="X49" s="100"/>
      <c r="Y49" s="80"/>
      <c r="AA49" s="106"/>
      <c r="AB49" s="107"/>
    </row>
    <row r="50" spans="1:40" ht="12.95" customHeight="1">
      <c r="A50" s="150"/>
      <c r="B50" s="99"/>
      <c r="C50" s="100"/>
      <c r="D50" s="101"/>
      <c r="E50" s="108"/>
      <c r="F50" s="126" t="s">
        <v>261</v>
      </c>
      <c r="G50" s="120">
        <f>ROUND(30*A48/1000,0)</f>
        <v>8</v>
      </c>
      <c r="H50" s="189"/>
      <c r="I50" s="190"/>
      <c r="J50" s="105"/>
      <c r="K50" s="105"/>
      <c r="L50" s="105"/>
      <c r="M50" s="105"/>
      <c r="N50" s="105"/>
      <c r="O50" s="105"/>
      <c r="P50" s="105"/>
      <c r="Q50" s="112"/>
      <c r="R50" s="112"/>
      <c r="S50" s="112"/>
      <c r="T50" s="112"/>
      <c r="U50" s="112"/>
      <c r="V50" s="112"/>
      <c r="W50" s="112"/>
      <c r="X50" s="112"/>
      <c r="Y50" s="80"/>
      <c r="AA50" s="106"/>
      <c r="AB50" s="107"/>
    </row>
    <row r="51" spans="1:40" ht="12.95" customHeight="1">
      <c r="A51" s="150"/>
      <c r="B51" s="99"/>
      <c r="C51" s="100"/>
      <c r="D51" s="101"/>
      <c r="E51" s="191" t="s">
        <v>263</v>
      </c>
      <c r="F51" s="128" t="s">
        <v>264</v>
      </c>
      <c r="G51" s="129">
        <f>ROUND(87*A48/1000,0)</f>
        <v>23</v>
      </c>
      <c r="H51" s="192"/>
      <c r="I51" s="193"/>
      <c r="J51" s="105"/>
      <c r="K51" s="105"/>
      <c r="L51" s="105"/>
      <c r="M51" s="105"/>
      <c r="N51" s="105"/>
      <c r="O51" s="105"/>
      <c r="P51" s="105"/>
      <c r="Q51" s="91"/>
      <c r="R51" s="91"/>
      <c r="S51" s="91"/>
      <c r="T51" s="91"/>
      <c r="U51" s="91"/>
      <c r="V51" s="91"/>
      <c r="W51" s="91"/>
      <c r="X51" s="91"/>
      <c r="Y51" s="80"/>
      <c r="AA51" s="106"/>
    </row>
    <row r="52" spans="1:40" ht="12.95" customHeight="1">
      <c r="A52" s="150"/>
      <c r="B52" s="99"/>
      <c r="C52" s="100"/>
      <c r="D52" s="101"/>
      <c r="E52" s="194"/>
      <c r="F52" s="195" t="s">
        <v>265</v>
      </c>
      <c r="G52" s="196">
        <f>ROUND(0.6*A48/1000,1)</f>
        <v>0.2</v>
      </c>
      <c r="H52" s="197"/>
      <c r="I52" s="198"/>
      <c r="J52" s="105"/>
      <c r="K52" s="105"/>
      <c r="L52" s="105"/>
      <c r="M52" s="105"/>
      <c r="N52" s="105"/>
      <c r="O52" s="105"/>
      <c r="P52" s="105"/>
      <c r="Q52" s="100"/>
      <c r="R52" s="100"/>
      <c r="S52" s="100"/>
      <c r="T52" s="100"/>
      <c r="U52" s="100"/>
      <c r="V52" s="100"/>
      <c r="W52" s="100"/>
      <c r="X52" s="100"/>
      <c r="Y52" s="80"/>
      <c r="AA52" s="106"/>
      <c r="AB52" s="106"/>
    </row>
    <row r="53" spans="1:40" ht="12.95" customHeight="1">
      <c r="A53" s="150"/>
      <c r="B53" s="99"/>
      <c r="C53" s="100"/>
      <c r="D53" s="101"/>
      <c r="E53" s="199"/>
      <c r="F53" s="187" t="s">
        <v>266</v>
      </c>
      <c r="G53" s="162">
        <f>ROUND(0.3*A48/1000,1)</f>
        <v>0.1</v>
      </c>
      <c r="H53" s="200"/>
      <c r="I53" s="201"/>
      <c r="J53" s="105"/>
      <c r="K53" s="105"/>
      <c r="L53" s="105"/>
      <c r="M53" s="105"/>
      <c r="N53" s="105"/>
      <c r="O53" s="105"/>
      <c r="P53" s="105"/>
      <c r="Q53" s="112"/>
      <c r="R53" s="112"/>
      <c r="S53" s="112"/>
      <c r="T53" s="112"/>
      <c r="U53" s="112"/>
      <c r="V53" s="112"/>
      <c r="W53" s="112"/>
      <c r="X53" s="112"/>
      <c r="Y53" s="80"/>
      <c r="AA53" s="107"/>
      <c r="AB53" s="106"/>
    </row>
    <row r="54" spans="1:40" ht="12.95" customHeight="1">
      <c r="A54" s="150"/>
      <c r="B54" s="99"/>
      <c r="C54" s="100"/>
      <c r="D54" s="101"/>
      <c r="E54" s="93" t="s">
        <v>246</v>
      </c>
      <c r="F54" s="123" t="s">
        <v>133</v>
      </c>
      <c r="G54" s="124">
        <v>22</v>
      </c>
      <c r="H54" s="94"/>
      <c r="I54" s="157"/>
      <c r="J54" s="105"/>
      <c r="K54" s="105"/>
      <c r="L54" s="105"/>
      <c r="M54" s="105"/>
      <c r="N54" s="105"/>
      <c r="O54" s="105"/>
      <c r="P54" s="105"/>
      <c r="Q54" s="91"/>
      <c r="R54" s="91"/>
      <c r="S54" s="91"/>
      <c r="T54" s="91"/>
      <c r="U54" s="91"/>
      <c r="V54" s="91"/>
      <c r="W54" s="91"/>
      <c r="X54" s="91"/>
      <c r="Y54" s="80"/>
      <c r="AA54" s="107"/>
      <c r="AB54" s="107"/>
    </row>
    <row r="55" spans="1:40" ht="12.95" customHeight="1">
      <c r="A55" s="150"/>
      <c r="B55" s="99"/>
      <c r="C55" s="100"/>
      <c r="D55" s="101"/>
      <c r="E55" s="102"/>
      <c r="F55" s="113" t="s">
        <v>121</v>
      </c>
      <c r="G55" s="135" t="s">
        <v>249</v>
      </c>
      <c r="H55" s="103"/>
      <c r="I55" s="131"/>
      <c r="J55" s="105"/>
      <c r="K55" s="105"/>
      <c r="L55" s="105"/>
      <c r="M55" s="105"/>
      <c r="N55" s="105"/>
      <c r="O55" s="105"/>
      <c r="P55" s="105"/>
      <c r="Q55" s="100"/>
      <c r="R55" s="100"/>
      <c r="S55" s="100"/>
      <c r="T55" s="100"/>
      <c r="U55" s="100"/>
      <c r="V55" s="100"/>
      <c r="W55" s="100"/>
      <c r="X55" s="100"/>
      <c r="Y55" s="80"/>
      <c r="AA55" s="107"/>
      <c r="AB55" s="107"/>
    </row>
    <row r="56" spans="1:40" ht="12.95" customHeight="1">
      <c r="A56" s="150"/>
      <c r="B56" s="99"/>
      <c r="C56" s="100"/>
      <c r="D56" s="101"/>
      <c r="E56" s="108"/>
      <c r="F56" s="126"/>
      <c r="G56" s="122"/>
      <c r="H56" s="109"/>
      <c r="I56" s="136"/>
      <c r="J56" s="105"/>
      <c r="K56" s="105"/>
      <c r="L56" s="105"/>
      <c r="M56" s="105"/>
      <c r="N56" s="105"/>
      <c r="O56" s="105"/>
      <c r="P56" s="105"/>
      <c r="Q56" s="112"/>
      <c r="R56" s="112"/>
      <c r="S56" s="112"/>
      <c r="T56" s="112"/>
      <c r="U56" s="112"/>
      <c r="V56" s="112"/>
      <c r="W56" s="112"/>
      <c r="X56" s="112"/>
      <c r="Y56" s="80"/>
      <c r="AA56" s="106"/>
      <c r="AB56" s="107"/>
    </row>
    <row r="57" spans="1:40" ht="12.95" customHeight="1">
      <c r="A57" s="150"/>
      <c r="B57" s="99"/>
      <c r="C57" s="100"/>
      <c r="D57" s="101"/>
      <c r="E57" s="93" t="s">
        <v>310</v>
      </c>
      <c r="F57" s="123" t="s">
        <v>352</v>
      </c>
      <c r="G57" s="114">
        <v>15</v>
      </c>
      <c r="H57" s="158"/>
      <c r="I57" s="159"/>
      <c r="J57" s="105"/>
      <c r="K57" s="105"/>
      <c r="L57" s="105"/>
      <c r="M57" s="105"/>
      <c r="N57" s="105"/>
      <c r="O57" s="105"/>
      <c r="P57" s="105"/>
      <c r="Q57" s="91"/>
      <c r="R57" s="91"/>
      <c r="S57" s="91"/>
      <c r="T57" s="91"/>
      <c r="U57" s="91"/>
      <c r="V57" s="91"/>
      <c r="W57" s="91"/>
      <c r="X57" s="91"/>
      <c r="Y57" s="80"/>
    </row>
    <row r="58" spans="1:40" ht="12.95" customHeight="1">
      <c r="A58" s="150"/>
      <c r="B58" s="99"/>
      <c r="C58" s="100"/>
      <c r="D58" s="101"/>
      <c r="E58" s="81"/>
      <c r="F58" s="113" t="s">
        <v>311</v>
      </c>
      <c r="G58" s="114">
        <v>0.1</v>
      </c>
      <c r="H58" s="118"/>
      <c r="I58" s="202"/>
      <c r="J58" s="105"/>
      <c r="K58" s="105"/>
      <c r="L58" s="105"/>
      <c r="M58" s="105"/>
      <c r="N58" s="105"/>
      <c r="O58" s="105"/>
      <c r="P58" s="105"/>
      <c r="Q58" s="100"/>
      <c r="R58" s="100"/>
      <c r="S58" s="100"/>
      <c r="T58" s="100"/>
      <c r="U58" s="100"/>
      <c r="V58" s="100"/>
      <c r="W58" s="100"/>
      <c r="X58" s="100"/>
      <c r="Y58" s="80"/>
      <c r="AA58" s="106"/>
      <c r="AB58" s="203"/>
    </row>
    <row r="59" spans="1:40" s="145" customFormat="1" ht="12.95" customHeight="1">
      <c r="A59" s="164"/>
      <c r="B59" s="132"/>
      <c r="C59" s="112"/>
      <c r="D59" s="133"/>
      <c r="E59" s="87"/>
      <c r="F59" s="187"/>
      <c r="G59" s="162"/>
      <c r="H59" s="187"/>
      <c r="I59" s="196"/>
      <c r="J59" s="137"/>
      <c r="K59" s="137"/>
      <c r="L59" s="137"/>
      <c r="M59" s="137"/>
      <c r="N59" s="137"/>
      <c r="O59" s="137"/>
      <c r="P59" s="137"/>
      <c r="Q59" s="112"/>
      <c r="R59" s="112"/>
      <c r="S59" s="112"/>
      <c r="T59" s="112"/>
      <c r="U59" s="112"/>
      <c r="V59" s="112"/>
      <c r="W59" s="112"/>
      <c r="X59" s="112"/>
      <c r="Y59" s="85"/>
      <c r="AA59" s="204"/>
      <c r="AB59" s="203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</row>
    <row r="60" spans="1:40" ht="13.5" customHeight="1">
      <c r="A60" s="147"/>
      <c r="B60" s="139" t="s">
        <v>68</v>
      </c>
      <c r="C60" s="140"/>
      <c r="D60" s="141"/>
      <c r="E60" s="142" t="s">
        <v>370</v>
      </c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8"/>
      <c r="AA60" s="106"/>
      <c r="AB60" s="107"/>
    </row>
    <row r="61" spans="1:40" ht="12.95" customHeight="1">
      <c r="A61" s="147">
        <v>269</v>
      </c>
      <c r="B61" s="90">
        <v>43931</v>
      </c>
      <c r="C61" s="74" t="s">
        <v>70</v>
      </c>
      <c r="D61" s="92" t="s">
        <v>335</v>
      </c>
      <c r="E61" s="93" t="s">
        <v>289</v>
      </c>
      <c r="F61" s="125" t="s">
        <v>288</v>
      </c>
      <c r="G61" s="116">
        <f>ROUND(66*A61/1000,0)</f>
        <v>18</v>
      </c>
      <c r="H61" s="123" t="s">
        <v>254</v>
      </c>
      <c r="I61" s="124">
        <v>3</v>
      </c>
      <c r="J61" s="96">
        <v>5.5</v>
      </c>
      <c r="K61" s="96">
        <v>1.6</v>
      </c>
      <c r="L61" s="96">
        <v>1</v>
      </c>
      <c r="M61" s="96">
        <v>2</v>
      </c>
      <c r="N61" s="96">
        <v>0</v>
      </c>
      <c r="O61" s="96">
        <v>2.8</v>
      </c>
      <c r="P61" s="96">
        <f>J61*70+K61*55+M61*25+N61*60+O61*45</f>
        <v>649</v>
      </c>
      <c r="Q61" s="91"/>
      <c r="R61" s="91"/>
      <c r="S61" s="91"/>
      <c r="T61" s="91"/>
      <c r="U61" s="91"/>
      <c r="V61" s="91"/>
      <c r="W61" s="91"/>
      <c r="X61" s="91"/>
      <c r="Y61" s="74"/>
      <c r="AA61" s="106"/>
      <c r="AB61" s="107"/>
    </row>
    <row r="62" spans="1:40" ht="12.95" customHeight="1">
      <c r="A62" s="150"/>
      <c r="B62" s="99"/>
      <c r="C62" s="80"/>
      <c r="D62" s="101"/>
      <c r="E62" s="102"/>
      <c r="F62" s="115" t="s">
        <v>244</v>
      </c>
      <c r="G62" s="120">
        <f>ROUND(16.4*A61/1000,0)</f>
        <v>4</v>
      </c>
      <c r="H62" s="205"/>
      <c r="I62" s="206"/>
      <c r="J62" s="105"/>
      <c r="K62" s="105"/>
      <c r="L62" s="81"/>
      <c r="M62" s="81"/>
      <c r="N62" s="81"/>
      <c r="O62" s="105"/>
      <c r="P62" s="105"/>
      <c r="Q62" s="100"/>
      <c r="R62" s="100"/>
      <c r="S62" s="100"/>
      <c r="T62" s="100"/>
      <c r="U62" s="100"/>
      <c r="V62" s="100"/>
      <c r="W62" s="100"/>
      <c r="X62" s="100"/>
      <c r="Y62" s="80"/>
      <c r="AA62" s="107"/>
      <c r="AB62" s="207"/>
    </row>
    <row r="63" spans="1:40" ht="12.95" customHeight="1">
      <c r="A63" s="150"/>
      <c r="B63" s="99"/>
      <c r="C63" s="80"/>
      <c r="D63" s="101"/>
      <c r="E63" s="108"/>
      <c r="F63" s="126" t="s">
        <v>245</v>
      </c>
      <c r="G63" s="122" t="s">
        <v>255</v>
      </c>
      <c r="H63" s="208"/>
      <c r="I63" s="209"/>
      <c r="J63" s="105"/>
      <c r="K63" s="105"/>
      <c r="L63" s="81"/>
      <c r="M63" s="81"/>
      <c r="N63" s="81"/>
      <c r="O63" s="105"/>
      <c r="P63" s="105"/>
      <c r="Q63" s="112"/>
      <c r="R63" s="112"/>
      <c r="S63" s="112"/>
      <c r="T63" s="112"/>
      <c r="U63" s="112"/>
      <c r="V63" s="112"/>
      <c r="W63" s="112"/>
      <c r="X63" s="112"/>
      <c r="Y63" s="80"/>
      <c r="AA63" s="106"/>
      <c r="AB63" s="107"/>
    </row>
    <row r="64" spans="1:40" ht="12.95" customHeight="1">
      <c r="A64" s="150"/>
      <c r="B64" s="99"/>
      <c r="C64" s="80"/>
      <c r="D64" s="101"/>
      <c r="E64" s="93" t="s">
        <v>387</v>
      </c>
      <c r="F64" s="210" t="s">
        <v>253</v>
      </c>
      <c r="G64" s="121">
        <f>ROUND(74*A61/1000,0)</f>
        <v>20</v>
      </c>
      <c r="H64" s="115"/>
      <c r="I64" s="120"/>
      <c r="J64" s="105"/>
      <c r="K64" s="105"/>
      <c r="L64" s="81"/>
      <c r="M64" s="81"/>
      <c r="N64" s="81"/>
      <c r="O64" s="105"/>
      <c r="P64" s="105"/>
      <c r="Q64" s="91"/>
      <c r="R64" s="91"/>
      <c r="S64" s="91"/>
      <c r="T64" s="91"/>
      <c r="U64" s="91"/>
      <c r="V64" s="91"/>
      <c r="W64" s="91"/>
      <c r="X64" s="91"/>
      <c r="Y64" s="80"/>
      <c r="AA64" s="106"/>
      <c r="AB64" s="107"/>
    </row>
    <row r="65" spans="1:40" ht="12.95" customHeight="1">
      <c r="A65" s="150"/>
      <c r="B65" s="99"/>
      <c r="C65" s="80"/>
      <c r="D65" s="101"/>
      <c r="E65" s="81"/>
      <c r="F65" s="211" t="s">
        <v>384</v>
      </c>
      <c r="G65" s="212">
        <v>1.2</v>
      </c>
      <c r="H65" s="213"/>
      <c r="I65" s="120"/>
      <c r="J65" s="105"/>
      <c r="K65" s="105"/>
      <c r="L65" s="81"/>
      <c r="M65" s="81"/>
      <c r="N65" s="81"/>
      <c r="O65" s="105"/>
      <c r="P65" s="105"/>
      <c r="Q65" s="100"/>
      <c r="R65" s="100"/>
      <c r="S65" s="100"/>
      <c r="T65" s="100"/>
      <c r="U65" s="100"/>
      <c r="V65" s="100"/>
      <c r="W65" s="100"/>
      <c r="X65" s="100"/>
      <c r="Y65" s="80"/>
      <c r="AA65" s="106"/>
      <c r="AB65" s="107"/>
    </row>
    <row r="66" spans="1:40" ht="12.95" customHeight="1">
      <c r="A66" s="150"/>
      <c r="B66" s="99"/>
      <c r="C66" s="80"/>
      <c r="D66" s="101"/>
      <c r="E66" s="87"/>
      <c r="F66" s="180" t="s">
        <v>303</v>
      </c>
      <c r="G66" s="214">
        <v>1</v>
      </c>
      <c r="H66" s="215"/>
      <c r="I66" s="122"/>
      <c r="J66" s="105"/>
      <c r="K66" s="105"/>
      <c r="L66" s="81"/>
      <c r="M66" s="81"/>
      <c r="N66" s="81"/>
      <c r="O66" s="105"/>
      <c r="P66" s="105"/>
      <c r="Q66" s="112"/>
      <c r="R66" s="112"/>
      <c r="S66" s="112"/>
      <c r="T66" s="112"/>
      <c r="U66" s="112"/>
      <c r="V66" s="112"/>
      <c r="W66" s="112"/>
      <c r="X66" s="112"/>
      <c r="Y66" s="80"/>
      <c r="AA66" s="107"/>
      <c r="AB66" s="107"/>
    </row>
    <row r="67" spans="1:40" ht="12.95" customHeight="1">
      <c r="A67" s="150"/>
      <c r="B67" s="99"/>
      <c r="C67" s="80"/>
      <c r="D67" s="101"/>
      <c r="E67" s="93" t="s">
        <v>246</v>
      </c>
      <c r="F67" s="123" t="s">
        <v>133</v>
      </c>
      <c r="G67" s="124">
        <v>22</v>
      </c>
      <c r="H67" s="94"/>
      <c r="I67" s="157"/>
      <c r="J67" s="105"/>
      <c r="K67" s="105"/>
      <c r="L67" s="81"/>
      <c r="M67" s="81"/>
      <c r="N67" s="81"/>
      <c r="O67" s="105"/>
      <c r="P67" s="105"/>
      <c r="Q67" s="91"/>
      <c r="R67" s="91"/>
      <c r="S67" s="91"/>
      <c r="T67" s="91"/>
      <c r="U67" s="91"/>
      <c r="V67" s="91"/>
      <c r="W67" s="91"/>
      <c r="X67" s="91"/>
      <c r="Y67" s="80"/>
      <c r="AA67" s="107"/>
      <c r="AB67" s="107"/>
    </row>
    <row r="68" spans="1:40" ht="12.95" customHeight="1">
      <c r="A68" s="150"/>
      <c r="B68" s="99"/>
      <c r="C68" s="80"/>
      <c r="D68" s="101"/>
      <c r="E68" s="102"/>
      <c r="F68" s="113" t="s">
        <v>121</v>
      </c>
      <c r="G68" s="135" t="s">
        <v>249</v>
      </c>
      <c r="H68" s="103"/>
      <c r="I68" s="131"/>
      <c r="J68" s="105"/>
      <c r="K68" s="105"/>
      <c r="L68" s="81"/>
      <c r="M68" s="81"/>
      <c r="N68" s="81"/>
      <c r="O68" s="105"/>
      <c r="P68" s="105"/>
      <c r="Q68" s="100"/>
      <c r="R68" s="100"/>
      <c r="S68" s="100"/>
      <c r="T68" s="100"/>
      <c r="U68" s="100"/>
      <c r="V68" s="100"/>
      <c r="W68" s="100"/>
      <c r="X68" s="100"/>
      <c r="Y68" s="80"/>
      <c r="AA68" s="107"/>
      <c r="AB68" s="107"/>
    </row>
    <row r="69" spans="1:40" ht="12.95" customHeight="1">
      <c r="A69" s="164"/>
      <c r="B69" s="99"/>
      <c r="C69" s="80"/>
      <c r="D69" s="101"/>
      <c r="E69" s="108"/>
      <c r="F69" s="126"/>
      <c r="G69" s="122"/>
      <c r="H69" s="109"/>
      <c r="I69" s="136"/>
      <c r="J69" s="105"/>
      <c r="K69" s="105"/>
      <c r="L69" s="81"/>
      <c r="M69" s="81"/>
      <c r="N69" s="81"/>
      <c r="O69" s="105"/>
      <c r="P69" s="105"/>
      <c r="Q69" s="112"/>
      <c r="R69" s="112"/>
      <c r="S69" s="112"/>
      <c r="T69" s="112"/>
      <c r="U69" s="112"/>
      <c r="V69" s="112"/>
      <c r="W69" s="112"/>
      <c r="X69" s="112"/>
      <c r="Y69" s="80"/>
      <c r="AA69" s="106"/>
      <c r="AB69" s="107"/>
    </row>
    <row r="70" spans="1:40" ht="12.95" customHeight="1">
      <c r="A70" s="150"/>
      <c r="B70" s="99"/>
      <c r="C70" s="80"/>
      <c r="D70" s="101"/>
      <c r="E70" s="93" t="s">
        <v>242</v>
      </c>
      <c r="F70" s="216" t="s">
        <v>147</v>
      </c>
      <c r="G70" s="217">
        <f>9*A61/1000</f>
        <v>2.4209999999999998</v>
      </c>
      <c r="H70" s="218"/>
      <c r="I70" s="219"/>
      <c r="J70" s="105"/>
      <c r="K70" s="105"/>
      <c r="L70" s="81"/>
      <c r="M70" s="81"/>
      <c r="N70" s="81"/>
      <c r="O70" s="105"/>
      <c r="P70" s="105"/>
      <c r="Q70" s="91"/>
      <c r="R70" s="91"/>
      <c r="S70" s="91"/>
      <c r="T70" s="91"/>
      <c r="U70" s="91"/>
      <c r="V70" s="91"/>
      <c r="W70" s="91"/>
      <c r="X70" s="91"/>
      <c r="Y70" s="80"/>
    </row>
    <row r="71" spans="1:40" ht="12.95" customHeight="1">
      <c r="A71" s="150"/>
      <c r="B71" s="99"/>
      <c r="C71" s="80"/>
      <c r="D71" s="101"/>
      <c r="E71" s="102"/>
      <c r="F71" s="118" t="s">
        <v>148</v>
      </c>
      <c r="G71" s="121">
        <v>13</v>
      </c>
      <c r="H71" s="119"/>
      <c r="I71" s="120"/>
      <c r="J71" s="105"/>
      <c r="K71" s="105"/>
      <c r="L71" s="81"/>
      <c r="M71" s="81"/>
      <c r="N71" s="81"/>
      <c r="O71" s="105"/>
      <c r="P71" s="105"/>
      <c r="Q71" s="100"/>
      <c r="R71" s="100"/>
      <c r="S71" s="100"/>
      <c r="T71" s="100"/>
      <c r="U71" s="100"/>
      <c r="V71" s="100"/>
      <c r="W71" s="100"/>
      <c r="X71" s="100"/>
      <c r="Y71" s="80"/>
      <c r="AA71" s="106"/>
      <c r="AB71" s="107"/>
    </row>
    <row r="72" spans="1:40" s="145" customFormat="1" ht="12.95" customHeight="1">
      <c r="A72" s="150"/>
      <c r="B72" s="132"/>
      <c r="C72" s="85"/>
      <c r="D72" s="133"/>
      <c r="E72" s="108"/>
      <c r="F72" s="187"/>
      <c r="G72" s="220"/>
      <c r="H72" s="221"/>
      <c r="I72" s="122"/>
      <c r="J72" s="137"/>
      <c r="K72" s="137"/>
      <c r="L72" s="87"/>
      <c r="M72" s="87"/>
      <c r="N72" s="87"/>
      <c r="O72" s="137"/>
      <c r="P72" s="137"/>
      <c r="Q72" s="112"/>
      <c r="R72" s="112"/>
      <c r="S72" s="112"/>
      <c r="T72" s="112"/>
      <c r="U72" s="112"/>
      <c r="V72" s="112"/>
      <c r="W72" s="112"/>
      <c r="X72" s="112"/>
      <c r="Y72" s="85"/>
      <c r="AA72" s="204"/>
      <c r="AB72" s="107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</row>
    <row r="73" spans="1:40" ht="12.95" customHeight="1">
      <c r="A73" s="150"/>
      <c r="B73" s="139" t="s">
        <v>68</v>
      </c>
      <c r="C73" s="140"/>
      <c r="D73" s="141"/>
      <c r="E73" s="165" t="s">
        <v>69</v>
      </c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8"/>
      <c r="AA73" s="107"/>
      <c r="AB73" s="107"/>
    </row>
    <row r="74" spans="1:40" ht="6.75" customHeight="1">
      <c r="A74" s="147"/>
      <c r="B74" s="222" t="s">
        <v>71</v>
      </c>
      <c r="C74" s="223"/>
      <c r="D74" s="223"/>
      <c r="E74" s="224"/>
      <c r="F74" s="222" t="s">
        <v>72</v>
      </c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4"/>
      <c r="AB74" s="62"/>
    </row>
    <row r="75" spans="1:40" ht="6.75" customHeight="1">
      <c r="A75" s="150"/>
      <c r="B75" s="225"/>
      <c r="C75" s="226"/>
      <c r="D75" s="226"/>
      <c r="E75" s="227"/>
      <c r="F75" s="225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7"/>
      <c r="AA75" s="107"/>
      <c r="AB75" s="107"/>
    </row>
    <row r="76" spans="1:40" ht="6.75" customHeight="1">
      <c r="A76" s="150"/>
      <c r="B76" s="225"/>
      <c r="C76" s="226"/>
      <c r="D76" s="226"/>
      <c r="E76" s="227"/>
      <c r="F76" s="225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7"/>
      <c r="AA76" s="228"/>
      <c r="AB76" s="229"/>
    </row>
    <row r="77" spans="1:40" ht="6.75" customHeight="1">
      <c r="A77" s="150"/>
      <c r="B77" s="230"/>
      <c r="C77" s="231"/>
      <c r="D77" s="231"/>
      <c r="E77" s="232"/>
      <c r="F77" s="230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2"/>
      <c r="AA77" s="233"/>
      <c r="AB77" s="234"/>
    </row>
    <row r="78" spans="1:40" ht="14.45" customHeight="1">
      <c r="A78" s="150"/>
      <c r="B78" s="235" t="s">
        <v>42</v>
      </c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AA78" s="58"/>
      <c r="AB78" s="207"/>
    </row>
    <row r="79" spans="1:40" ht="19.5" customHeight="1">
      <c r="B79" s="236" t="s">
        <v>43</v>
      </c>
      <c r="C79" s="236"/>
      <c r="D79" s="236"/>
      <c r="E79" s="236"/>
      <c r="H79" s="236" t="s">
        <v>37</v>
      </c>
      <c r="I79" s="236"/>
      <c r="J79" s="236"/>
      <c r="K79" s="236" t="s">
        <v>427</v>
      </c>
      <c r="L79" s="236"/>
      <c r="M79" s="236"/>
      <c r="N79" s="238"/>
      <c r="O79" s="238"/>
      <c r="P79" s="239"/>
      <c r="Q79" s="239"/>
      <c r="R79" s="239"/>
      <c r="S79" s="238" t="s">
        <v>44</v>
      </c>
      <c r="T79" s="238"/>
      <c r="U79" s="240"/>
      <c r="V79" s="240"/>
      <c r="W79" s="240"/>
      <c r="X79" s="240"/>
      <c r="Y79" s="240"/>
      <c r="AA79" s="215"/>
      <c r="AB79" s="241"/>
    </row>
    <row r="81" spans="5:5">
      <c r="E81" s="242"/>
    </row>
  </sheetData>
  <protectedRanges>
    <protectedRange password="C60F" sqref="P78:S78" name="範圍1_1"/>
  </protectedRanges>
  <mergeCells count="286">
    <mergeCell ref="K79:M79"/>
    <mergeCell ref="W61:W63"/>
    <mergeCell ref="X61:X63"/>
    <mergeCell ref="X64:X66"/>
    <mergeCell ref="X67:X69"/>
    <mergeCell ref="X70:X72"/>
    <mergeCell ref="B60:D60"/>
    <mergeCell ref="E60:Y60"/>
    <mergeCell ref="B61:B72"/>
    <mergeCell ref="C61:C72"/>
    <mergeCell ref="D61:D72"/>
    <mergeCell ref="E61:E63"/>
    <mergeCell ref="S67:S69"/>
    <mergeCell ref="T67:T69"/>
    <mergeCell ref="U67:U69"/>
    <mergeCell ref="V67:V69"/>
    <mergeCell ref="U64:U66"/>
    <mergeCell ref="V64:V66"/>
    <mergeCell ref="E67:E69"/>
    <mergeCell ref="Q67:Q69"/>
    <mergeCell ref="R67:R69"/>
    <mergeCell ref="X54:X56"/>
    <mergeCell ref="T57:T59"/>
    <mergeCell ref="U57:U59"/>
    <mergeCell ref="V57:V59"/>
    <mergeCell ref="W57:W59"/>
    <mergeCell ref="B74:E77"/>
    <mergeCell ref="F74:Y77"/>
    <mergeCell ref="B73:D73"/>
    <mergeCell ref="E73:Y73"/>
    <mergeCell ref="E70:E72"/>
    <mergeCell ref="Q70:Q72"/>
    <mergeCell ref="R70:R72"/>
    <mergeCell ref="S70:S72"/>
    <mergeCell ref="T70:T72"/>
    <mergeCell ref="U70:U72"/>
    <mergeCell ref="V70:V72"/>
    <mergeCell ref="W70:W72"/>
    <mergeCell ref="Y61:Y72"/>
    <mergeCell ref="Q64:Q66"/>
    <mergeCell ref="W67:W69"/>
    <mergeCell ref="S61:S63"/>
    <mergeCell ref="T61:T63"/>
    <mergeCell ref="U61:U63"/>
    <mergeCell ref="V61:V63"/>
    <mergeCell ref="V48:V50"/>
    <mergeCell ref="P34:P46"/>
    <mergeCell ref="Q34:Q37"/>
    <mergeCell ref="R34:R37"/>
    <mergeCell ref="S48:S50"/>
    <mergeCell ref="T48:T50"/>
    <mergeCell ref="U48:U50"/>
    <mergeCell ref="Y48:Y59"/>
    <mergeCell ref="Q51:Q53"/>
    <mergeCell ref="R51:R53"/>
    <mergeCell ref="S51:S53"/>
    <mergeCell ref="T51:T53"/>
    <mergeCell ref="U51:U53"/>
    <mergeCell ref="V51:V53"/>
    <mergeCell ref="W51:W53"/>
    <mergeCell ref="Q54:Q56"/>
    <mergeCell ref="R54:R56"/>
    <mergeCell ref="S54:S56"/>
    <mergeCell ref="T54:T56"/>
    <mergeCell ref="U54:U56"/>
    <mergeCell ref="V54:V56"/>
    <mergeCell ref="X57:X59"/>
    <mergeCell ref="X48:X50"/>
    <mergeCell ref="X51:X53"/>
    <mergeCell ref="B34:B46"/>
    <mergeCell ref="C34:C46"/>
    <mergeCell ref="D34:D46"/>
    <mergeCell ref="E34:E37"/>
    <mergeCell ref="J34:J46"/>
    <mergeCell ref="W54:W56"/>
    <mergeCell ref="W44:W46"/>
    <mergeCell ref="W48:W50"/>
    <mergeCell ref="Q44:Q46"/>
    <mergeCell ref="R44:R46"/>
    <mergeCell ref="U34:U37"/>
    <mergeCell ref="V34:V37"/>
    <mergeCell ref="S41:S43"/>
    <mergeCell ref="T41:T43"/>
    <mergeCell ref="U41:U43"/>
    <mergeCell ref="V41:V43"/>
    <mergeCell ref="W41:W43"/>
    <mergeCell ref="E54:E56"/>
    <mergeCell ref="B47:D47"/>
    <mergeCell ref="E47:Y47"/>
    <mergeCell ref="B48:B59"/>
    <mergeCell ref="C48:C59"/>
    <mergeCell ref="D48:D59"/>
    <mergeCell ref="E48:E50"/>
    <mergeCell ref="J48:J59"/>
    <mergeCell ref="K48:K59"/>
    <mergeCell ref="L48:L59"/>
    <mergeCell ref="M48:M59"/>
    <mergeCell ref="N48:N59"/>
    <mergeCell ref="O48:O59"/>
    <mergeCell ref="P48:P59"/>
    <mergeCell ref="Q48:Q50"/>
    <mergeCell ref="R48:R50"/>
    <mergeCell ref="E51:E53"/>
    <mergeCell ref="E57:E59"/>
    <mergeCell ref="Q57:Q59"/>
    <mergeCell ref="R57:R59"/>
    <mergeCell ref="S57:S59"/>
    <mergeCell ref="B79:E79"/>
    <mergeCell ref="N79:O79"/>
    <mergeCell ref="H79:J79"/>
    <mergeCell ref="S79:T79"/>
    <mergeCell ref="R64:R66"/>
    <mergeCell ref="S64:S66"/>
    <mergeCell ref="T64:T66"/>
    <mergeCell ref="E64:E66"/>
    <mergeCell ref="J61:J72"/>
    <mergeCell ref="K61:K72"/>
    <mergeCell ref="L61:L72"/>
    <mergeCell ref="M61:M72"/>
    <mergeCell ref="N61:N72"/>
    <mergeCell ref="O61:O72"/>
    <mergeCell ref="P61:P72"/>
    <mergeCell ref="Q61:Q63"/>
    <mergeCell ref="R61:R63"/>
    <mergeCell ref="B78:Y78"/>
    <mergeCell ref="W64:W66"/>
    <mergeCell ref="X41:X43"/>
    <mergeCell ref="E44:E46"/>
    <mergeCell ref="T30:T32"/>
    <mergeCell ref="U30:U32"/>
    <mergeCell ref="V30:V32"/>
    <mergeCell ref="W30:W32"/>
    <mergeCell ref="S38:S40"/>
    <mergeCell ref="T38:T40"/>
    <mergeCell ref="U38:U40"/>
    <mergeCell ref="V38:V40"/>
    <mergeCell ref="W38:W40"/>
    <mergeCell ref="X44:X46"/>
    <mergeCell ref="O34:O46"/>
    <mergeCell ref="S34:S37"/>
    <mergeCell ref="T34:T37"/>
    <mergeCell ref="S44:S46"/>
    <mergeCell ref="T44:T46"/>
    <mergeCell ref="U44:U46"/>
    <mergeCell ref="V44:V46"/>
    <mergeCell ref="K34:K46"/>
    <mergeCell ref="L34:L46"/>
    <mergeCell ref="M34:M46"/>
    <mergeCell ref="N34:N46"/>
    <mergeCell ref="V24:V26"/>
    <mergeCell ref="W24:W26"/>
    <mergeCell ref="X30:X32"/>
    <mergeCell ref="W34:W37"/>
    <mergeCell ref="X34:X37"/>
    <mergeCell ref="B33:D33"/>
    <mergeCell ref="E33:Y33"/>
    <mergeCell ref="X24:X26"/>
    <mergeCell ref="E27:E29"/>
    <mergeCell ref="Q27:Q29"/>
    <mergeCell ref="S27:S29"/>
    <mergeCell ref="T27:T29"/>
    <mergeCell ref="U27:U29"/>
    <mergeCell ref="V27:V29"/>
    <mergeCell ref="W27:W29"/>
    <mergeCell ref="X27:X29"/>
    <mergeCell ref="Y34:Y46"/>
    <mergeCell ref="E38:E40"/>
    <mergeCell ref="Q38:Q40"/>
    <mergeCell ref="R38:R40"/>
    <mergeCell ref="X38:X40"/>
    <mergeCell ref="E41:E43"/>
    <mergeCell ref="Q41:Q43"/>
    <mergeCell ref="R41:R43"/>
    <mergeCell ref="S11:S13"/>
    <mergeCell ref="S8:S10"/>
    <mergeCell ref="W21:W23"/>
    <mergeCell ref="X21:X23"/>
    <mergeCell ref="Y21:Y32"/>
    <mergeCell ref="R27:R29"/>
    <mergeCell ref="E24:E26"/>
    <mergeCell ref="Q24:Q26"/>
    <mergeCell ref="R24:R26"/>
    <mergeCell ref="S24:S26"/>
    <mergeCell ref="T24:T26"/>
    <mergeCell ref="U24:U26"/>
    <mergeCell ref="Q21:Q23"/>
    <mergeCell ref="R21:R23"/>
    <mergeCell ref="S21:S23"/>
    <mergeCell ref="T21:T23"/>
    <mergeCell ref="U21:U23"/>
    <mergeCell ref="V21:V23"/>
    <mergeCell ref="K21:K32"/>
    <mergeCell ref="L21:L32"/>
    <mergeCell ref="M21:M32"/>
    <mergeCell ref="N21:N32"/>
    <mergeCell ref="O21:O32"/>
    <mergeCell ref="P21:P32"/>
    <mergeCell ref="E11:E13"/>
    <mergeCell ref="Q11:Q13"/>
    <mergeCell ref="Y8:Y19"/>
    <mergeCell ref="B21:B32"/>
    <mergeCell ref="C21:C32"/>
    <mergeCell ref="D21:D32"/>
    <mergeCell ref="E21:E23"/>
    <mergeCell ref="J21:J32"/>
    <mergeCell ref="E17:E19"/>
    <mergeCell ref="Q17:Q19"/>
    <mergeCell ref="R17:R19"/>
    <mergeCell ref="S17:S19"/>
    <mergeCell ref="B8:B19"/>
    <mergeCell ref="C8:C19"/>
    <mergeCell ref="D8:D19"/>
    <mergeCell ref="E8:E10"/>
    <mergeCell ref="J8:J19"/>
    <mergeCell ref="K8:K19"/>
    <mergeCell ref="L8:L19"/>
    <mergeCell ref="E30:E32"/>
    <mergeCell ref="Q30:Q32"/>
    <mergeCell ref="R30:R32"/>
    <mergeCell ref="S30:S32"/>
    <mergeCell ref="R11:R13"/>
    <mergeCell ref="B20:D20"/>
    <mergeCell ref="E20:Y20"/>
    <mergeCell ref="T17:T19"/>
    <mergeCell ref="U17:U19"/>
    <mergeCell ref="V17:V19"/>
    <mergeCell ref="W17:W19"/>
    <mergeCell ref="X17:X19"/>
    <mergeCell ref="E14:E16"/>
    <mergeCell ref="Q14:Q16"/>
    <mergeCell ref="R14:R16"/>
    <mergeCell ref="S14:S16"/>
    <mergeCell ref="T14:T16"/>
    <mergeCell ref="U14:U16"/>
    <mergeCell ref="V14:V16"/>
    <mergeCell ref="W14:W16"/>
    <mergeCell ref="X14:X16"/>
    <mergeCell ref="Y3:Y7"/>
    <mergeCell ref="E4:E7"/>
    <mergeCell ref="F4:F7"/>
    <mergeCell ref="G4:G7"/>
    <mergeCell ref="H4:H7"/>
    <mergeCell ref="I4:I7"/>
    <mergeCell ref="J4:P4"/>
    <mergeCell ref="Q4:Q7"/>
    <mergeCell ref="R4:R7"/>
    <mergeCell ref="J5:J7"/>
    <mergeCell ref="K5:K7"/>
    <mergeCell ref="L5:L7"/>
    <mergeCell ref="V4:V6"/>
    <mergeCell ref="W4:W6"/>
    <mergeCell ref="X4:X6"/>
    <mergeCell ref="T4:T6"/>
    <mergeCell ref="B3:B7"/>
    <mergeCell ref="C3:C7"/>
    <mergeCell ref="D3:D7"/>
    <mergeCell ref="E3:P3"/>
    <mergeCell ref="Q3:S3"/>
    <mergeCell ref="T3:X3"/>
    <mergeCell ref="T8:T10"/>
    <mergeCell ref="U8:U10"/>
    <mergeCell ref="V8:V10"/>
    <mergeCell ref="P1:V1"/>
    <mergeCell ref="E2:G2"/>
    <mergeCell ref="H2:O2"/>
    <mergeCell ref="P2:U2"/>
    <mergeCell ref="V2:X2"/>
    <mergeCell ref="M5:M7"/>
    <mergeCell ref="W8:W10"/>
    <mergeCell ref="X8:X10"/>
    <mergeCell ref="M8:M19"/>
    <mergeCell ref="N8:N19"/>
    <mergeCell ref="O8:O19"/>
    <mergeCell ref="P8:P19"/>
    <mergeCell ref="Q8:Q10"/>
    <mergeCell ref="R8:R10"/>
    <mergeCell ref="N5:N7"/>
    <mergeCell ref="O5:O7"/>
    <mergeCell ref="P5:P7"/>
    <mergeCell ref="S4:S7"/>
    <mergeCell ref="U4:U6"/>
    <mergeCell ref="T11:T13"/>
    <mergeCell ref="U11:U13"/>
    <mergeCell ref="V11:V13"/>
    <mergeCell ref="W11:W13"/>
    <mergeCell ref="X11:X13"/>
  </mergeCells>
  <phoneticPr fontId="3" type="noConversion"/>
  <printOptions horizontalCentered="1" verticalCentered="1"/>
  <pageMargins left="0.59055118110236227" right="0.39370078740157483" top="0.19685039370078741" bottom="0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AN80"/>
  <sheetViews>
    <sheetView topLeftCell="A61" zoomScaleNormal="100" workbookViewId="0">
      <selection activeCell="AB20" sqref="AB20"/>
    </sheetView>
  </sheetViews>
  <sheetFormatPr defaultColWidth="9" defaultRowHeight="16.5"/>
  <cols>
    <col min="1" max="1" width="5.375" style="98" customWidth="1"/>
    <col min="2" max="2" width="3.625" style="57" customWidth="1"/>
    <col min="3" max="4" width="3.625" style="58" customWidth="1"/>
    <col min="5" max="5" width="11.625" style="58" customWidth="1"/>
    <col min="6" max="6" width="6.5" style="59" customWidth="1"/>
    <col min="7" max="7" width="5.625" style="58" customWidth="1"/>
    <col min="8" max="8" width="6.25" style="243" customWidth="1"/>
    <col min="9" max="9" width="3.625" style="63" customWidth="1"/>
    <col min="10" max="10" width="4" style="58" customWidth="1"/>
    <col min="11" max="11" width="3.625" style="58" customWidth="1"/>
    <col min="12" max="12" width="4" style="58" customWidth="1"/>
    <col min="13" max="13" width="3.875" style="58" customWidth="1"/>
    <col min="14" max="14" width="4.5" style="58" customWidth="1"/>
    <col min="15" max="21" width="3.875" style="58" customWidth="1"/>
    <col min="22" max="22" width="4.5" style="58" customWidth="1"/>
    <col min="23" max="25" width="3.875" style="58" customWidth="1"/>
    <col min="26" max="26" width="2.5" style="58" customWidth="1"/>
    <col min="27" max="27" width="5.75" style="97" customWidth="1"/>
    <col min="28" max="28" width="6" style="63" customWidth="1"/>
    <col min="29" max="16384" width="9" style="58"/>
  </cols>
  <sheetData>
    <row r="1" spans="1:40" s="233" customFormat="1">
      <c r="A1" s="56"/>
      <c r="B1" s="56"/>
      <c r="F1" s="59"/>
      <c r="G1" s="58"/>
      <c r="H1" s="243"/>
      <c r="I1" s="63"/>
      <c r="P1" s="244" t="s">
        <v>45</v>
      </c>
      <c r="Q1" s="244"/>
      <c r="R1" s="244"/>
      <c r="S1" s="244"/>
      <c r="T1" s="244"/>
      <c r="U1" s="244"/>
      <c r="V1" s="244"/>
      <c r="Y1" s="61">
        <v>20</v>
      </c>
      <c r="AA1" s="62"/>
      <c r="AB1" s="63"/>
    </row>
    <row r="2" spans="1:40" s="233" customFormat="1" ht="15.75" customHeight="1">
      <c r="A2" s="64"/>
      <c r="B2" s="245"/>
      <c r="C2" s="246"/>
      <c r="D2" s="246"/>
      <c r="E2" s="67" t="s">
        <v>374</v>
      </c>
      <c r="F2" s="68"/>
      <c r="G2" s="68"/>
      <c r="H2" s="247" t="s">
        <v>142</v>
      </c>
      <c r="I2" s="247"/>
      <c r="J2" s="247"/>
      <c r="K2" s="247"/>
      <c r="L2" s="247"/>
      <c r="M2" s="247"/>
      <c r="N2" s="247"/>
      <c r="O2" s="247"/>
      <c r="P2" s="247" t="s">
        <v>46</v>
      </c>
      <c r="Q2" s="247"/>
      <c r="R2" s="247"/>
      <c r="S2" s="247"/>
      <c r="T2" s="247"/>
      <c r="U2" s="247"/>
      <c r="V2" s="248" t="s">
        <v>47</v>
      </c>
      <c r="W2" s="248"/>
      <c r="X2" s="248"/>
      <c r="Y2" s="58">
        <v>5</v>
      </c>
      <c r="Z2" s="249"/>
      <c r="AA2" s="72"/>
      <c r="AB2" s="63"/>
    </row>
    <row r="3" spans="1:40" s="233" customFormat="1" ht="12.95" customHeight="1">
      <c r="A3" s="64"/>
      <c r="B3" s="73" t="s">
        <v>130</v>
      </c>
      <c r="C3" s="74" t="s">
        <v>51</v>
      </c>
      <c r="D3" s="74" t="s">
        <v>52</v>
      </c>
      <c r="E3" s="75" t="s">
        <v>53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5" t="s">
        <v>54</v>
      </c>
      <c r="R3" s="76"/>
      <c r="S3" s="77"/>
      <c r="T3" s="75" t="s">
        <v>55</v>
      </c>
      <c r="U3" s="76"/>
      <c r="V3" s="76"/>
      <c r="W3" s="76"/>
      <c r="X3" s="77"/>
      <c r="Y3" s="74" t="s">
        <v>56</v>
      </c>
      <c r="Z3" s="249"/>
      <c r="AA3" s="78"/>
      <c r="AB3" s="62"/>
    </row>
    <row r="4" spans="1:40" s="233" customFormat="1" ht="12.95" customHeight="1">
      <c r="A4" s="64"/>
      <c r="B4" s="79"/>
      <c r="C4" s="80"/>
      <c r="D4" s="80"/>
      <c r="E4" s="81" t="s">
        <v>57</v>
      </c>
      <c r="F4" s="82" t="s">
        <v>58</v>
      </c>
      <c r="G4" s="74" t="s">
        <v>59</v>
      </c>
      <c r="H4" s="82" t="s">
        <v>58</v>
      </c>
      <c r="I4" s="74" t="s">
        <v>59</v>
      </c>
      <c r="J4" s="75" t="s">
        <v>60</v>
      </c>
      <c r="K4" s="76"/>
      <c r="L4" s="76"/>
      <c r="M4" s="76"/>
      <c r="N4" s="76"/>
      <c r="O4" s="76"/>
      <c r="P4" s="77"/>
      <c r="Q4" s="74" t="s">
        <v>61</v>
      </c>
      <c r="R4" s="74" t="s">
        <v>62</v>
      </c>
      <c r="S4" s="74" t="s">
        <v>63</v>
      </c>
      <c r="T4" s="74" t="s">
        <v>64</v>
      </c>
      <c r="U4" s="74" t="s">
        <v>73</v>
      </c>
      <c r="V4" s="74" t="s">
        <v>74</v>
      </c>
      <c r="W4" s="74" t="s">
        <v>75</v>
      </c>
      <c r="X4" s="74" t="s">
        <v>76</v>
      </c>
      <c r="Y4" s="80"/>
      <c r="Z4" s="249"/>
      <c r="AA4" s="78"/>
      <c r="AB4" s="62"/>
    </row>
    <row r="5" spans="1:40" s="233" customFormat="1" ht="12.95" customHeight="1">
      <c r="A5" s="64"/>
      <c r="B5" s="79"/>
      <c r="C5" s="80"/>
      <c r="D5" s="80"/>
      <c r="E5" s="81"/>
      <c r="F5" s="82"/>
      <c r="G5" s="80"/>
      <c r="H5" s="82"/>
      <c r="I5" s="80"/>
      <c r="J5" s="83" t="s">
        <v>77</v>
      </c>
      <c r="K5" s="83" t="s">
        <v>78</v>
      </c>
      <c r="L5" s="83" t="s">
        <v>79</v>
      </c>
      <c r="M5" s="83" t="s">
        <v>80</v>
      </c>
      <c r="N5" s="83" t="s">
        <v>81</v>
      </c>
      <c r="O5" s="84" t="s">
        <v>82</v>
      </c>
      <c r="P5" s="83" t="s">
        <v>83</v>
      </c>
      <c r="Q5" s="80"/>
      <c r="R5" s="80"/>
      <c r="S5" s="80"/>
      <c r="T5" s="80"/>
      <c r="U5" s="80"/>
      <c r="V5" s="80"/>
      <c r="W5" s="80"/>
      <c r="X5" s="80"/>
      <c r="Y5" s="80"/>
      <c r="Z5" s="249"/>
      <c r="AA5" s="78"/>
      <c r="AB5" s="62"/>
    </row>
    <row r="6" spans="1:40" s="233" customFormat="1" ht="12.95" customHeight="1">
      <c r="A6" s="64"/>
      <c r="B6" s="79"/>
      <c r="C6" s="80"/>
      <c r="D6" s="80"/>
      <c r="E6" s="81"/>
      <c r="F6" s="82"/>
      <c r="G6" s="80"/>
      <c r="H6" s="82"/>
      <c r="I6" s="80"/>
      <c r="J6" s="83"/>
      <c r="K6" s="83"/>
      <c r="L6" s="83"/>
      <c r="M6" s="83"/>
      <c r="N6" s="83"/>
      <c r="O6" s="84"/>
      <c r="P6" s="83"/>
      <c r="Q6" s="80"/>
      <c r="R6" s="80"/>
      <c r="S6" s="80"/>
      <c r="T6" s="85"/>
      <c r="U6" s="85"/>
      <c r="V6" s="85"/>
      <c r="W6" s="85"/>
      <c r="X6" s="85"/>
      <c r="Y6" s="80"/>
      <c r="Z6" s="249"/>
      <c r="AA6" s="78"/>
      <c r="AB6" s="62"/>
    </row>
    <row r="7" spans="1:40" s="233" customFormat="1" ht="12.95" customHeight="1">
      <c r="A7" s="64"/>
      <c r="B7" s="86"/>
      <c r="C7" s="85"/>
      <c r="D7" s="85"/>
      <c r="E7" s="87"/>
      <c r="F7" s="88"/>
      <c r="G7" s="85"/>
      <c r="H7" s="82"/>
      <c r="I7" s="85"/>
      <c r="J7" s="83"/>
      <c r="K7" s="83"/>
      <c r="L7" s="83"/>
      <c r="M7" s="83"/>
      <c r="N7" s="83"/>
      <c r="O7" s="84"/>
      <c r="P7" s="83"/>
      <c r="Q7" s="85"/>
      <c r="R7" s="85"/>
      <c r="S7" s="85"/>
      <c r="T7" s="89">
        <v>5</v>
      </c>
      <c r="U7" s="89">
        <v>4</v>
      </c>
      <c r="V7" s="89">
        <v>3</v>
      </c>
      <c r="W7" s="89">
        <v>2</v>
      </c>
      <c r="X7" s="89">
        <v>1</v>
      </c>
      <c r="Y7" s="85"/>
      <c r="Z7" s="249"/>
      <c r="AA7" s="78"/>
      <c r="AB7" s="62"/>
    </row>
    <row r="8" spans="1:40" ht="12.95" customHeight="1">
      <c r="A8" s="58">
        <v>269</v>
      </c>
      <c r="B8" s="90">
        <v>43934</v>
      </c>
      <c r="C8" s="91" t="s">
        <v>84</v>
      </c>
      <c r="D8" s="92" t="s">
        <v>140</v>
      </c>
      <c r="E8" s="93" t="s">
        <v>262</v>
      </c>
      <c r="F8" s="128" t="s">
        <v>200</v>
      </c>
      <c r="G8" s="129">
        <f>ROUND(52*A8/1000,0)</f>
        <v>14</v>
      </c>
      <c r="H8" s="128" t="s">
        <v>149</v>
      </c>
      <c r="I8" s="129">
        <f>ROUND(15*A8/1000,0)</f>
        <v>4</v>
      </c>
      <c r="J8" s="96">
        <v>5.2</v>
      </c>
      <c r="K8" s="96">
        <v>2.8</v>
      </c>
      <c r="L8" s="96">
        <v>0</v>
      </c>
      <c r="M8" s="96">
        <v>2.7</v>
      </c>
      <c r="N8" s="96">
        <v>0</v>
      </c>
      <c r="O8" s="96">
        <v>2.8</v>
      </c>
      <c r="P8" s="96">
        <f>SUM(J8*70+K8*75+L8*120+M8*25+N8*60+O8*45)</f>
        <v>767.5</v>
      </c>
      <c r="Q8" s="74"/>
      <c r="R8" s="91"/>
      <c r="S8" s="91"/>
      <c r="T8" s="91"/>
      <c r="U8" s="91"/>
      <c r="V8" s="91"/>
      <c r="W8" s="91"/>
      <c r="X8" s="91"/>
      <c r="Y8" s="92" t="s">
        <v>298</v>
      </c>
      <c r="Z8" s="71"/>
      <c r="AA8" s="106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</row>
    <row r="9" spans="1:40" ht="12.95" customHeight="1">
      <c r="B9" s="99"/>
      <c r="C9" s="100"/>
      <c r="D9" s="101"/>
      <c r="E9" s="102"/>
      <c r="F9" s="130" t="s">
        <v>201</v>
      </c>
      <c r="G9" s="196">
        <f>ROUND(20*A8/1000,0)</f>
        <v>5</v>
      </c>
      <c r="H9" s="59"/>
      <c r="I9" s="135"/>
      <c r="J9" s="105"/>
      <c r="K9" s="105"/>
      <c r="L9" s="105"/>
      <c r="M9" s="105"/>
      <c r="N9" s="105"/>
      <c r="O9" s="105"/>
      <c r="P9" s="105"/>
      <c r="Q9" s="80"/>
      <c r="R9" s="100"/>
      <c r="S9" s="100"/>
      <c r="T9" s="100"/>
      <c r="U9" s="100"/>
      <c r="V9" s="100"/>
      <c r="W9" s="100"/>
      <c r="X9" s="100"/>
      <c r="Y9" s="101"/>
      <c r="Z9" s="71"/>
      <c r="AA9" s="106"/>
      <c r="AB9" s="250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.95" customHeight="1">
      <c r="B10" s="99"/>
      <c r="C10" s="100"/>
      <c r="D10" s="101"/>
      <c r="E10" s="108"/>
      <c r="F10" s="251" t="s">
        <v>202</v>
      </c>
      <c r="G10" s="220">
        <f>ROUND(1.5*A8/1000,1)</f>
        <v>0.4</v>
      </c>
      <c r="H10" s="134"/>
      <c r="I10" s="252"/>
      <c r="J10" s="105"/>
      <c r="K10" s="105"/>
      <c r="L10" s="105"/>
      <c r="M10" s="105"/>
      <c r="N10" s="105"/>
      <c r="O10" s="105"/>
      <c r="P10" s="105"/>
      <c r="Q10" s="85"/>
      <c r="R10" s="112"/>
      <c r="S10" s="112"/>
      <c r="T10" s="112"/>
      <c r="U10" s="112"/>
      <c r="V10" s="112"/>
      <c r="W10" s="112"/>
      <c r="X10" s="112"/>
      <c r="Y10" s="101"/>
      <c r="Z10" s="71"/>
      <c r="AA10" s="106"/>
      <c r="AB10" s="250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</row>
    <row r="11" spans="1:40" ht="12.95" customHeight="1">
      <c r="B11" s="99"/>
      <c r="C11" s="100"/>
      <c r="D11" s="101"/>
      <c r="E11" s="93" t="s">
        <v>408</v>
      </c>
      <c r="F11" s="118" t="s">
        <v>351</v>
      </c>
      <c r="G11" s="159">
        <v>26</v>
      </c>
      <c r="H11" s="118"/>
      <c r="I11" s="124"/>
      <c r="J11" s="105"/>
      <c r="K11" s="105"/>
      <c r="L11" s="105"/>
      <c r="M11" s="105"/>
      <c r="N11" s="105"/>
      <c r="O11" s="105"/>
      <c r="P11" s="105"/>
      <c r="Q11" s="91"/>
      <c r="R11" s="91"/>
      <c r="S11" s="91"/>
      <c r="T11" s="91"/>
      <c r="U11" s="91"/>
      <c r="V11" s="91"/>
      <c r="W11" s="91"/>
      <c r="X11" s="91"/>
      <c r="Y11" s="101"/>
      <c r="AA11" s="106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40" ht="12.95" customHeight="1">
      <c r="B12" s="99"/>
      <c r="C12" s="100"/>
      <c r="D12" s="101"/>
      <c r="E12" s="81"/>
      <c r="F12" s="113" t="s">
        <v>409</v>
      </c>
      <c r="G12" s="114">
        <v>1</v>
      </c>
      <c r="H12" s="118"/>
      <c r="I12" s="114"/>
      <c r="J12" s="105"/>
      <c r="K12" s="105"/>
      <c r="L12" s="105"/>
      <c r="M12" s="105"/>
      <c r="N12" s="105"/>
      <c r="O12" s="105"/>
      <c r="P12" s="105"/>
      <c r="Q12" s="100"/>
      <c r="R12" s="100"/>
      <c r="S12" s="100"/>
      <c r="T12" s="100"/>
      <c r="U12" s="100"/>
      <c r="V12" s="100"/>
      <c r="W12" s="100"/>
      <c r="X12" s="100"/>
      <c r="Y12" s="101"/>
      <c r="AA12" s="106"/>
      <c r="AB12" s="107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</row>
    <row r="13" spans="1:40" ht="12.95" customHeight="1">
      <c r="B13" s="99"/>
      <c r="C13" s="100"/>
      <c r="D13" s="101"/>
      <c r="E13" s="87"/>
      <c r="F13" s="253"/>
      <c r="G13" s="162"/>
      <c r="H13" s="187"/>
      <c r="I13" s="162"/>
      <c r="J13" s="105"/>
      <c r="K13" s="105"/>
      <c r="L13" s="105"/>
      <c r="M13" s="105"/>
      <c r="N13" s="105"/>
      <c r="O13" s="105"/>
      <c r="P13" s="105"/>
      <c r="Q13" s="112"/>
      <c r="R13" s="112"/>
      <c r="S13" s="112"/>
      <c r="T13" s="112"/>
      <c r="U13" s="112"/>
      <c r="V13" s="112"/>
      <c r="W13" s="112"/>
      <c r="X13" s="112"/>
      <c r="Y13" s="101"/>
      <c r="AA13" s="107"/>
      <c r="AB13" s="107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</row>
    <row r="14" spans="1:40" ht="12.95" customHeight="1">
      <c r="B14" s="99"/>
      <c r="C14" s="100"/>
      <c r="D14" s="101"/>
      <c r="E14" s="93" t="s">
        <v>246</v>
      </c>
      <c r="F14" s="123" t="s">
        <v>247</v>
      </c>
      <c r="G14" s="124">
        <f>80*A8/1000</f>
        <v>21.52</v>
      </c>
      <c r="H14" s="125"/>
      <c r="I14" s="120"/>
      <c r="J14" s="105"/>
      <c r="K14" s="105"/>
      <c r="L14" s="105"/>
      <c r="M14" s="105"/>
      <c r="N14" s="105"/>
      <c r="O14" s="105"/>
      <c r="P14" s="105"/>
      <c r="Q14" s="91"/>
      <c r="R14" s="91"/>
      <c r="S14" s="91"/>
      <c r="T14" s="91"/>
      <c r="U14" s="91"/>
      <c r="V14" s="91"/>
      <c r="W14" s="91"/>
      <c r="X14" s="91"/>
      <c r="Y14" s="101"/>
      <c r="AA14" s="107"/>
      <c r="AB14" s="107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</row>
    <row r="15" spans="1:40" ht="12.95" customHeight="1">
      <c r="B15" s="99"/>
      <c r="C15" s="100"/>
      <c r="D15" s="101"/>
      <c r="E15" s="102"/>
      <c r="F15" s="113" t="s">
        <v>250</v>
      </c>
      <c r="G15" s="114">
        <v>3</v>
      </c>
      <c r="H15" s="115"/>
      <c r="I15" s="120"/>
      <c r="J15" s="105"/>
      <c r="K15" s="105"/>
      <c r="L15" s="105"/>
      <c r="M15" s="105"/>
      <c r="N15" s="105"/>
      <c r="O15" s="105"/>
      <c r="P15" s="105"/>
      <c r="Q15" s="100"/>
      <c r="R15" s="100"/>
      <c r="S15" s="100"/>
      <c r="T15" s="100"/>
      <c r="U15" s="100"/>
      <c r="V15" s="100"/>
      <c r="W15" s="100"/>
      <c r="X15" s="100"/>
      <c r="Y15" s="101"/>
      <c r="AA15" s="107"/>
      <c r="AB15" s="107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</row>
    <row r="16" spans="1:40" ht="12.95" customHeight="1">
      <c r="B16" s="99"/>
      <c r="C16" s="100"/>
      <c r="D16" s="101"/>
      <c r="E16" s="108"/>
      <c r="F16" s="126"/>
      <c r="G16" s="122"/>
      <c r="H16" s="126"/>
      <c r="I16" s="122"/>
      <c r="J16" s="105"/>
      <c r="K16" s="105"/>
      <c r="L16" s="105"/>
      <c r="M16" s="105"/>
      <c r="N16" s="105"/>
      <c r="O16" s="105"/>
      <c r="P16" s="105"/>
      <c r="Q16" s="112"/>
      <c r="R16" s="112"/>
      <c r="S16" s="112"/>
      <c r="T16" s="112"/>
      <c r="U16" s="112"/>
      <c r="V16" s="112"/>
      <c r="W16" s="112"/>
      <c r="X16" s="112"/>
      <c r="Y16" s="101"/>
      <c r="AA16" s="106"/>
      <c r="AB16" s="107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</row>
    <row r="17" spans="1:40" ht="12.95" customHeight="1">
      <c r="B17" s="99"/>
      <c r="C17" s="100"/>
      <c r="D17" s="101"/>
      <c r="E17" s="88" t="s">
        <v>173</v>
      </c>
      <c r="F17" s="254" t="s">
        <v>168</v>
      </c>
      <c r="G17" s="116">
        <f>ROUND(26.7*A8/1000,0)</f>
        <v>7</v>
      </c>
      <c r="H17" s="94"/>
      <c r="I17" s="120"/>
      <c r="J17" s="105"/>
      <c r="K17" s="105"/>
      <c r="L17" s="105"/>
      <c r="M17" s="105"/>
      <c r="N17" s="105"/>
      <c r="O17" s="105"/>
      <c r="P17" s="105"/>
      <c r="Q17" s="91"/>
      <c r="R17" s="91"/>
      <c r="S17" s="91"/>
      <c r="T17" s="91"/>
      <c r="U17" s="91"/>
      <c r="V17" s="91"/>
      <c r="W17" s="91"/>
      <c r="X17" s="91"/>
      <c r="Y17" s="101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</row>
    <row r="18" spans="1:40" ht="12.95" customHeight="1">
      <c r="B18" s="99"/>
      <c r="C18" s="100"/>
      <c r="D18" s="101"/>
      <c r="E18" s="81"/>
      <c r="F18" s="119" t="s">
        <v>174</v>
      </c>
      <c r="G18" s="255" t="s">
        <v>267</v>
      </c>
      <c r="H18" s="103"/>
      <c r="I18" s="120"/>
      <c r="J18" s="105"/>
      <c r="K18" s="105"/>
      <c r="L18" s="105"/>
      <c r="M18" s="105"/>
      <c r="N18" s="105"/>
      <c r="O18" s="105"/>
      <c r="P18" s="105"/>
      <c r="Q18" s="100"/>
      <c r="R18" s="100"/>
      <c r="S18" s="100"/>
      <c r="T18" s="100"/>
      <c r="U18" s="100"/>
      <c r="V18" s="100"/>
      <c r="W18" s="100"/>
      <c r="X18" s="100"/>
      <c r="Y18" s="101"/>
      <c r="AA18" s="106"/>
      <c r="AB18" s="107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</row>
    <row r="19" spans="1:40" ht="12.95" customHeight="1">
      <c r="B19" s="132"/>
      <c r="C19" s="112"/>
      <c r="D19" s="133"/>
      <c r="E19" s="87"/>
      <c r="F19" s="221"/>
      <c r="G19" s="122"/>
      <c r="H19" s="109"/>
      <c r="I19" s="111"/>
      <c r="J19" s="137"/>
      <c r="K19" s="137"/>
      <c r="L19" s="137"/>
      <c r="M19" s="137"/>
      <c r="N19" s="137"/>
      <c r="O19" s="137"/>
      <c r="P19" s="137"/>
      <c r="Q19" s="112"/>
      <c r="R19" s="112"/>
      <c r="S19" s="112"/>
      <c r="T19" s="112"/>
      <c r="U19" s="112"/>
      <c r="V19" s="112"/>
      <c r="W19" s="112"/>
      <c r="X19" s="112"/>
      <c r="Y19" s="133"/>
      <c r="AA19" s="106"/>
      <c r="AB19" s="62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</row>
    <row r="20" spans="1:40" s="145" customFormat="1" ht="12.75" customHeight="1">
      <c r="A20" s="138"/>
      <c r="B20" s="139" t="s">
        <v>66</v>
      </c>
      <c r="C20" s="140"/>
      <c r="D20" s="141"/>
      <c r="E20" s="142" t="s">
        <v>371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AA20" s="146"/>
      <c r="AB20" s="62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</row>
    <row r="21" spans="1:40" ht="12.95" customHeight="1">
      <c r="A21" s="147">
        <v>269</v>
      </c>
      <c r="B21" s="90">
        <v>43935</v>
      </c>
      <c r="C21" s="91" t="s">
        <v>86</v>
      </c>
      <c r="D21" s="92" t="s">
        <v>140</v>
      </c>
      <c r="E21" s="93" t="s">
        <v>317</v>
      </c>
      <c r="F21" s="128" t="s">
        <v>146</v>
      </c>
      <c r="G21" s="129">
        <f>ROUND(78*A21/1000,1)</f>
        <v>21</v>
      </c>
      <c r="H21" s="123" t="s">
        <v>318</v>
      </c>
      <c r="I21" s="159">
        <f>ROUND(1*A21/1000,1)</f>
        <v>0.3</v>
      </c>
      <c r="J21" s="96">
        <v>5.5</v>
      </c>
      <c r="K21" s="96">
        <v>2.1</v>
      </c>
      <c r="L21" s="96">
        <v>1</v>
      </c>
      <c r="M21" s="96">
        <v>2.5</v>
      </c>
      <c r="N21" s="96">
        <v>0</v>
      </c>
      <c r="O21" s="96">
        <v>2.5</v>
      </c>
      <c r="P21" s="96">
        <f>SUM(J21*70+K21*75+L21*120+M21*25+N21*60+O21*45)</f>
        <v>837.5</v>
      </c>
      <c r="Q21" s="91"/>
      <c r="R21" s="91"/>
      <c r="S21" s="91"/>
      <c r="T21" s="91"/>
      <c r="U21" s="91"/>
      <c r="V21" s="91"/>
      <c r="W21" s="91"/>
      <c r="X21" s="91"/>
      <c r="Y21" s="92"/>
      <c r="AA21" s="106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</row>
    <row r="22" spans="1:40" ht="12.95" customHeight="1">
      <c r="A22" s="150"/>
      <c r="B22" s="99"/>
      <c r="C22" s="100"/>
      <c r="D22" s="101"/>
      <c r="E22" s="102"/>
      <c r="F22" s="130" t="s">
        <v>319</v>
      </c>
      <c r="G22" s="202">
        <f>ROUND(1.7*A21/1000,1)</f>
        <v>0.5</v>
      </c>
      <c r="H22" s="113" t="s">
        <v>320</v>
      </c>
      <c r="I22" s="121" t="s">
        <v>321</v>
      </c>
      <c r="J22" s="105"/>
      <c r="K22" s="105"/>
      <c r="L22" s="105"/>
      <c r="M22" s="105"/>
      <c r="N22" s="105"/>
      <c r="O22" s="105"/>
      <c r="P22" s="105"/>
      <c r="Q22" s="100"/>
      <c r="R22" s="100"/>
      <c r="S22" s="100"/>
      <c r="T22" s="100"/>
      <c r="U22" s="100"/>
      <c r="V22" s="100"/>
      <c r="W22" s="100"/>
      <c r="X22" s="100"/>
      <c r="Y22" s="100"/>
      <c r="AA22" s="107"/>
      <c r="AB22" s="107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</row>
    <row r="23" spans="1:40" ht="12.95" customHeight="1">
      <c r="A23" s="150"/>
      <c r="B23" s="99"/>
      <c r="C23" s="100"/>
      <c r="D23" s="101"/>
      <c r="E23" s="102"/>
      <c r="F23" s="130" t="s">
        <v>302</v>
      </c>
      <c r="G23" s="256">
        <v>6</v>
      </c>
      <c r="H23" s="113" t="s">
        <v>322</v>
      </c>
      <c r="I23" s="121" t="s">
        <v>323</v>
      </c>
      <c r="J23" s="105"/>
      <c r="K23" s="105"/>
      <c r="L23" s="105"/>
      <c r="M23" s="105"/>
      <c r="N23" s="105"/>
      <c r="O23" s="105"/>
      <c r="P23" s="105"/>
      <c r="Q23" s="100"/>
      <c r="R23" s="100"/>
      <c r="S23" s="100"/>
      <c r="T23" s="100"/>
      <c r="U23" s="100"/>
      <c r="V23" s="100"/>
      <c r="W23" s="100"/>
      <c r="X23" s="100"/>
      <c r="Y23" s="100"/>
      <c r="AA23" s="107"/>
      <c r="AB23" s="107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</row>
    <row r="24" spans="1:40" ht="12.95" customHeight="1">
      <c r="A24" s="150"/>
      <c r="B24" s="99"/>
      <c r="C24" s="100"/>
      <c r="D24" s="101"/>
      <c r="E24" s="108"/>
      <c r="F24" s="134" t="s">
        <v>324</v>
      </c>
      <c r="G24" s="252">
        <f>ROUND(0.9*A21/1000,1)</f>
        <v>0.2</v>
      </c>
      <c r="H24" s="257"/>
      <c r="I24" s="258"/>
      <c r="J24" s="105"/>
      <c r="K24" s="105"/>
      <c r="L24" s="105"/>
      <c r="M24" s="105"/>
      <c r="N24" s="105"/>
      <c r="O24" s="105"/>
      <c r="P24" s="105"/>
      <c r="Q24" s="112"/>
      <c r="R24" s="112"/>
      <c r="S24" s="112"/>
      <c r="T24" s="112"/>
      <c r="U24" s="112"/>
      <c r="V24" s="112"/>
      <c r="W24" s="112"/>
      <c r="X24" s="112"/>
      <c r="Y24" s="100"/>
      <c r="AA24" s="106"/>
      <c r="AB24" s="107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</row>
    <row r="25" spans="1:40" ht="12.95" customHeight="1">
      <c r="A25" s="150"/>
      <c r="B25" s="99"/>
      <c r="C25" s="100"/>
      <c r="D25" s="101"/>
      <c r="E25" s="102" t="s">
        <v>325</v>
      </c>
      <c r="F25" s="152" t="s">
        <v>326</v>
      </c>
      <c r="G25" s="120">
        <f>ROUND(77*A21/1000,0)</f>
        <v>21</v>
      </c>
      <c r="H25" s="115" t="s">
        <v>303</v>
      </c>
      <c r="I25" s="120">
        <f>ROUND(4*A21/1000,0)</f>
        <v>1</v>
      </c>
      <c r="J25" s="105"/>
      <c r="K25" s="105"/>
      <c r="L25" s="105"/>
      <c r="M25" s="105"/>
      <c r="N25" s="105"/>
      <c r="O25" s="105"/>
      <c r="P25" s="105"/>
      <c r="Q25" s="91"/>
      <c r="R25" s="91"/>
      <c r="S25" s="91"/>
      <c r="T25" s="91"/>
      <c r="U25" s="91"/>
      <c r="V25" s="91"/>
      <c r="W25" s="91"/>
      <c r="X25" s="91"/>
      <c r="Y25" s="100"/>
      <c r="AA25" s="106"/>
      <c r="AB25" s="107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</row>
    <row r="26" spans="1:40" ht="12.95" customHeight="1">
      <c r="A26" s="150"/>
      <c r="B26" s="99"/>
      <c r="C26" s="100"/>
      <c r="D26" s="101"/>
      <c r="E26" s="102"/>
      <c r="F26" s="115" t="s">
        <v>327</v>
      </c>
      <c r="G26" s="120">
        <f>ROUND(12.6*A21/1000,0)</f>
        <v>3</v>
      </c>
      <c r="H26" s="152"/>
      <c r="I26" s="120"/>
      <c r="J26" s="105"/>
      <c r="K26" s="105"/>
      <c r="L26" s="105"/>
      <c r="M26" s="105"/>
      <c r="N26" s="105"/>
      <c r="O26" s="105"/>
      <c r="P26" s="105"/>
      <c r="Q26" s="100"/>
      <c r="R26" s="100"/>
      <c r="S26" s="100"/>
      <c r="T26" s="100"/>
      <c r="U26" s="100"/>
      <c r="V26" s="100"/>
      <c r="W26" s="100"/>
      <c r="X26" s="100"/>
      <c r="Y26" s="100"/>
      <c r="AA26" s="106"/>
      <c r="AB26" s="107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</row>
    <row r="27" spans="1:40" ht="12.95" customHeight="1">
      <c r="A27" s="150"/>
      <c r="B27" s="99"/>
      <c r="C27" s="100"/>
      <c r="D27" s="101"/>
      <c r="E27" s="108"/>
      <c r="F27" s="259" t="s">
        <v>328</v>
      </c>
      <c r="G27" s="260">
        <f>ROUND(4.2*A21/1000,1)</f>
        <v>1.1000000000000001</v>
      </c>
      <c r="H27" s="259"/>
      <c r="I27" s="122"/>
      <c r="J27" s="105"/>
      <c r="K27" s="105"/>
      <c r="L27" s="105"/>
      <c r="M27" s="105"/>
      <c r="N27" s="105"/>
      <c r="O27" s="105"/>
      <c r="P27" s="105"/>
      <c r="Q27" s="112"/>
      <c r="R27" s="112"/>
      <c r="S27" s="112"/>
      <c r="T27" s="112"/>
      <c r="U27" s="112"/>
      <c r="V27" s="112"/>
      <c r="W27" s="112"/>
      <c r="X27" s="112"/>
      <c r="Y27" s="100"/>
      <c r="AA27" s="106"/>
      <c r="AB27" s="107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</row>
    <row r="28" spans="1:40" ht="12.95" customHeight="1">
      <c r="A28" s="150"/>
      <c r="B28" s="99"/>
      <c r="C28" s="100"/>
      <c r="D28" s="101"/>
      <c r="E28" s="93" t="s">
        <v>246</v>
      </c>
      <c r="F28" s="123" t="s">
        <v>133</v>
      </c>
      <c r="G28" s="124">
        <v>22</v>
      </c>
      <c r="H28" s="94"/>
      <c r="I28" s="157"/>
      <c r="J28" s="105"/>
      <c r="K28" s="105"/>
      <c r="L28" s="105"/>
      <c r="M28" s="105"/>
      <c r="N28" s="105"/>
      <c r="O28" s="105"/>
      <c r="P28" s="105"/>
      <c r="Q28" s="91"/>
      <c r="R28" s="91"/>
      <c r="S28" s="91"/>
      <c r="T28" s="91"/>
      <c r="U28" s="91"/>
      <c r="V28" s="91"/>
      <c r="W28" s="91"/>
      <c r="X28" s="91"/>
      <c r="Y28" s="100"/>
      <c r="AA28" s="107"/>
      <c r="AB28" s="107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</row>
    <row r="29" spans="1:40" ht="12.95" customHeight="1">
      <c r="A29" s="150"/>
      <c r="B29" s="99"/>
      <c r="C29" s="100"/>
      <c r="D29" s="101"/>
      <c r="E29" s="102"/>
      <c r="F29" s="113" t="s">
        <v>121</v>
      </c>
      <c r="G29" s="135" t="s">
        <v>249</v>
      </c>
      <c r="H29" s="103"/>
      <c r="I29" s="131"/>
      <c r="J29" s="105"/>
      <c r="K29" s="105"/>
      <c r="L29" s="105"/>
      <c r="M29" s="105"/>
      <c r="N29" s="105"/>
      <c r="O29" s="105"/>
      <c r="P29" s="105"/>
      <c r="Q29" s="100"/>
      <c r="R29" s="100"/>
      <c r="S29" s="100"/>
      <c r="T29" s="100"/>
      <c r="U29" s="100"/>
      <c r="V29" s="100"/>
      <c r="W29" s="100"/>
      <c r="X29" s="100"/>
      <c r="Y29" s="100"/>
      <c r="AA29" s="107"/>
      <c r="AB29" s="107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</row>
    <row r="30" spans="1:40" ht="12.95" customHeight="1">
      <c r="A30" s="150"/>
      <c r="B30" s="99"/>
      <c r="C30" s="100"/>
      <c r="D30" s="101"/>
      <c r="E30" s="108"/>
      <c r="F30" s="126"/>
      <c r="G30" s="122"/>
      <c r="H30" s="109"/>
      <c r="I30" s="136"/>
      <c r="J30" s="105"/>
      <c r="K30" s="105"/>
      <c r="L30" s="105"/>
      <c r="M30" s="105"/>
      <c r="N30" s="105"/>
      <c r="O30" s="105"/>
      <c r="P30" s="105"/>
      <c r="Q30" s="112"/>
      <c r="R30" s="112"/>
      <c r="S30" s="112"/>
      <c r="T30" s="112"/>
      <c r="U30" s="112"/>
      <c r="V30" s="112"/>
      <c r="W30" s="112"/>
      <c r="X30" s="112"/>
      <c r="Y30" s="100"/>
      <c r="AA30" s="106"/>
      <c r="AB30" s="107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</row>
    <row r="31" spans="1:40" ht="12.95" customHeight="1">
      <c r="A31" s="150"/>
      <c r="B31" s="99"/>
      <c r="C31" s="100"/>
      <c r="D31" s="101"/>
      <c r="E31" s="93" t="s">
        <v>312</v>
      </c>
      <c r="F31" s="254" t="s">
        <v>228</v>
      </c>
      <c r="G31" s="116">
        <f>ROUND(29*A21/1000,1)</f>
        <v>7.8</v>
      </c>
      <c r="H31" s="115" t="s">
        <v>301</v>
      </c>
      <c r="I31" s="261" t="s">
        <v>313</v>
      </c>
      <c r="J31" s="105"/>
      <c r="K31" s="105"/>
      <c r="L31" s="105"/>
      <c r="M31" s="105"/>
      <c r="N31" s="105"/>
      <c r="O31" s="105"/>
      <c r="P31" s="105"/>
      <c r="Q31" s="91"/>
      <c r="R31" s="91"/>
      <c r="S31" s="91"/>
      <c r="T31" s="91"/>
      <c r="U31" s="91"/>
      <c r="V31" s="91"/>
      <c r="W31" s="91"/>
      <c r="X31" s="91"/>
      <c r="Y31" s="100"/>
      <c r="AA31" s="106"/>
      <c r="AB31" s="107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</row>
    <row r="32" spans="1:40" ht="12.95" customHeight="1">
      <c r="A32" s="150"/>
      <c r="B32" s="99"/>
      <c r="C32" s="100"/>
      <c r="D32" s="101"/>
      <c r="E32" s="81"/>
      <c r="F32" s="119" t="s">
        <v>229</v>
      </c>
      <c r="G32" s="120">
        <f>ROUND(9.2*A21/1000,1)</f>
        <v>2.5</v>
      </c>
      <c r="H32" s="262"/>
      <c r="I32" s="131"/>
      <c r="J32" s="105"/>
      <c r="K32" s="105"/>
      <c r="L32" s="105"/>
      <c r="M32" s="105"/>
      <c r="N32" s="105"/>
      <c r="O32" s="105"/>
      <c r="P32" s="105"/>
      <c r="Q32" s="100"/>
      <c r="R32" s="100"/>
      <c r="S32" s="100"/>
      <c r="T32" s="100"/>
      <c r="U32" s="100"/>
      <c r="V32" s="100"/>
      <c r="W32" s="100"/>
      <c r="X32" s="100"/>
      <c r="Y32" s="100"/>
      <c r="AA32" s="106"/>
      <c r="AB32" s="107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</row>
    <row r="33" spans="1:40" ht="12.95" customHeight="1">
      <c r="A33" s="150"/>
      <c r="B33" s="132"/>
      <c r="C33" s="112"/>
      <c r="D33" s="133"/>
      <c r="E33" s="87"/>
      <c r="F33" s="221" t="s">
        <v>230</v>
      </c>
      <c r="G33" s="122">
        <f>ROUND(1*A21/1000,1)</f>
        <v>0.3</v>
      </c>
      <c r="H33" s="109"/>
      <c r="I33" s="111"/>
      <c r="J33" s="137"/>
      <c r="K33" s="137"/>
      <c r="L33" s="137"/>
      <c r="M33" s="137"/>
      <c r="N33" s="137"/>
      <c r="O33" s="137"/>
      <c r="P33" s="137"/>
      <c r="Q33" s="112"/>
      <c r="R33" s="112"/>
      <c r="S33" s="112"/>
      <c r="T33" s="112"/>
      <c r="U33" s="112"/>
      <c r="V33" s="112"/>
      <c r="W33" s="112"/>
      <c r="X33" s="112"/>
      <c r="Y33" s="112"/>
      <c r="AA33" s="106"/>
      <c r="AB33" s="107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</row>
    <row r="34" spans="1:40" s="145" customFormat="1" ht="12.95" customHeight="1">
      <c r="A34" s="164"/>
      <c r="B34" s="139" t="s">
        <v>66</v>
      </c>
      <c r="C34" s="140"/>
      <c r="D34" s="141"/>
      <c r="E34" s="165" t="s">
        <v>85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8"/>
      <c r="AA34" s="169"/>
      <c r="AB34" s="107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</row>
    <row r="35" spans="1:40" ht="12.95" customHeight="1">
      <c r="A35" s="147">
        <v>269</v>
      </c>
      <c r="B35" s="90">
        <v>43936</v>
      </c>
      <c r="C35" s="91" t="s">
        <v>87</v>
      </c>
      <c r="D35" s="91" t="s">
        <v>315</v>
      </c>
      <c r="E35" s="191" t="s">
        <v>372</v>
      </c>
      <c r="F35" s="113" t="s">
        <v>131</v>
      </c>
      <c r="G35" s="114">
        <f>ROUND(3.8*A35/1000,1)</f>
        <v>1</v>
      </c>
      <c r="H35" s="263" t="s">
        <v>160</v>
      </c>
      <c r="I35" s="264">
        <f>ROUND(32.8*A35/1000,0)</f>
        <v>9</v>
      </c>
      <c r="J35" s="96">
        <v>5.2</v>
      </c>
      <c r="K35" s="96">
        <v>1.6</v>
      </c>
      <c r="L35" s="96">
        <v>0</v>
      </c>
      <c r="M35" s="96">
        <v>1.1000000000000001</v>
      </c>
      <c r="N35" s="96">
        <v>1</v>
      </c>
      <c r="O35" s="96">
        <v>2</v>
      </c>
      <c r="P35" s="96">
        <f>SUM(J35*70+K35*75+L35*120+M35*25+N35*60+O35*45)</f>
        <v>661.5</v>
      </c>
      <c r="Q35" s="91"/>
      <c r="R35" s="91"/>
      <c r="S35" s="91"/>
      <c r="T35" s="91"/>
      <c r="U35" s="91"/>
      <c r="V35" s="91"/>
      <c r="W35" s="91"/>
      <c r="X35" s="91"/>
      <c r="Y35" s="80"/>
      <c r="AA35" s="106"/>
      <c r="AB35" s="107"/>
      <c r="AC35" s="265"/>
      <c r="AD35" s="265"/>
      <c r="AE35" s="265"/>
      <c r="AF35" s="265"/>
      <c r="AG35" s="265"/>
      <c r="AJ35" s="233"/>
      <c r="AK35" s="233"/>
      <c r="AL35" s="233"/>
      <c r="AM35" s="233"/>
      <c r="AN35" s="233"/>
    </row>
    <row r="36" spans="1:40" ht="12.95" customHeight="1">
      <c r="A36" s="150"/>
      <c r="B36" s="99"/>
      <c r="C36" s="100"/>
      <c r="D36" s="100"/>
      <c r="E36" s="194"/>
      <c r="F36" s="113" t="s">
        <v>388</v>
      </c>
      <c r="G36" s="114">
        <f>ROUND(23*A35/1000,0)</f>
        <v>6</v>
      </c>
      <c r="H36" s="266" t="s">
        <v>132</v>
      </c>
      <c r="I36" s="267">
        <f>ROUND(7*A35/1000,0)</f>
        <v>2</v>
      </c>
      <c r="J36" s="105"/>
      <c r="K36" s="105"/>
      <c r="L36" s="105"/>
      <c r="M36" s="105"/>
      <c r="N36" s="105"/>
      <c r="O36" s="105"/>
      <c r="P36" s="105"/>
      <c r="Q36" s="100"/>
      <c r="R36" s="100"/>
      <c r="S36" s="100"/>
      <c r="T36" s="100"/>
      <c r="U36" s="100"/>
      <c r="V36" s="100"/>
      <c r="W36" s="100"/>
      <c r="X36" s="100"/>
      <c r="Y36" s="80"/>
      <c r="AA36" s="106"/>
      <c r="AB36" s="107"/>
      <c r="AC36" s="265"/>
      <c r="AD36" s="265"/>
      <c r="AE36" s="265"/>
      <c r="AF36" s="265"/>
      <c r="AG36" s="265"/>
      <c r="AJ36" s="233"/>
      <c r="AK36" s="233"/>
      <c r="AL36" s="233"/>
      <c r="AM36" s="233"/>
      <c r="AN36" s="233"/>
    </row>
    <row r="37" spans="1:40" ht="12.95" customHeight="1">
      <c r="A37" s="150"/>
      <c r="B37" s="99"/>
      <c r="C37" s="100"/>
      <c r="D37" s="100"/>
      <c r="E37" s="194"/>
      <c r="F37" s="115" t="s">
        <v>138</v>
      </c>
      <c r="G37" s="120">
        <v>3</v>
      </c>
      <c r="H37" s="266" t="s">
        <v>390</v>
      </c>
      <c r="I37" s="267">
        <v>3</v>
      </c>
      <c r="J37" s="105"/>
      <c r="K37" s="105"/>
      <c r="L37" s="105"/>
      <c r="M37" s="105"/>
      <c r="N37" s="105"/>
      <c r="O37" s="105"/>
      <c r="P37" s="105"/>
      <c r="Q37" s="100"/>
      <c r="R37" s="100"/>
      <c r="S37" s="100"/>
      <c r="T37" s="100"/>
      <c r="U37" s="100"/>
      <c r="V37" s="100"/>
      <c r="W37" s="100"/>
      <c r="X37" s="100"/>
      <c r="Y37" s="80"/>
      <c r="AA37" s="106"/>
      <c r="AB37" s="107"/>
      <c r="AC37" s="265"/>
      <c r="AD37" s="265"/>
      <c r="AE37" s="265"/>
      <c r="AF37" s="265"/>
      <c r="AG37" s="265"/>
      <c r="AJ37" s="233"/>
      <c r="AK37" s="233"/>
      <c r="AL37" s="233"/>
      <c r="AM37" s="233"/>
      <c r="AN37" s="233"/>
    </row>
    <row r="38" spans="1:40" ht="12.95" customHeight="1">
      <c r="A38" s="150"/>
      <c r="B38" s="99"/>
      <c r="C38" s="100"/>
      <c r="D38" s="100"/>
      <c r="E38" s="199"/>
      <c r="F38" s="126" t="s">
        <v>236</v>
      </c>
      <c r="G38" s="122">
        <v>3</v>
      </c>
      <c r="H38" s="268"/>
      <c r="I38" s="269"/>
      <c r="J38" s="105"/>
      <c r="K38" s="105"/>
      <c r="L38" s="105"/>
      <c r="M38" s="105"/>
      <c r="N38" s="105"/>
      <c r="O38" s="105"/>
      <c r="P38" s="105"/>
      <c r="Q38" s="100"/>
      <c r="R38" s="100"/>
      <c r="S38" s="100"/>
      <c r="T38" s="100"/>
      <c r="U38" s="100"/>
      <c r="V38" s="100"/>
      <c r="W38" s="100"/>
      <c r="X38" s="100"/>
      <c r="Y38" s="80"/>
      <c r="AA38" s="106"/>
      <c r="AB38" s="107"/>
      <c r="AC38" s="265"/>
      <c r="AD38" s="265"/>
      <c r="AE38" s="265"/>
      <c r="AF38" s="265"/>
      <c r="AG38" s="265"/>
    </row>
    <row r="39" spans="1:40" ht="12.95" customHeight="1">
      <c r="A39" s="150"/>
      <c r="B39" s="99"/>
      <c r="C39" s="100"/>
      <c r="D39" s="100"/>
      <c r="E39" s="93" t="s">
        <v>161</v>
      </c>
      <c r="F39" s="270" t="s">
        <v>161</v>
      </c>
      <c r="G39" s="271" t="s">
        <v>314</v>
      </c>
      <c r="H39" s="266"/>
      <c r="I39" s="267"/>
      <c r="J39" s="105"/>
      <c r="K39" s="105"/>
      <c r="L39" s="105"/>
      <c r="M39" s="105"/>
      <c r="N39" s="105"/>
      <c r="O39" s="105"/>
      <c r="P39" s="105"/>
      <c r="Q39" s="91"/>
      <c r="R39" s="91"/>
      <c r="S39" s="91"/>
      <c r="T39" s="91"/>
      <c r="U39" s="91"/>
      <c r="V39" s="91"/>
      <c r="W39" s="91"/>
      <c r="X39" s="91"/>
      <c r="Y39" s="80"/>
      <c r="AA39" s="106"/>
      <c r="AB39" s="107"/>
      <c r="AC39" s="265"/>
      <c r="AD39" s="265"/>
      <c r="AE39" s="265"/>
      <c r="AF39" s="265"/>
      <c r="AG39" s="265"/>
    </row>
    <row r="40" spans="1:40" ht="12.95" customHeight="1">
      <c r="A40" s="150"/>
      <c r="B40" s="99"/>
      <c r="C40" s="100"/>
      <c r="D40" s="100"/>
      <c r="E40" s="81"/>
      <c r="F40" s="119"/>
      <c r="G40" s="120"/>
      <c r="H40" s="266"/>
      <c r="I40" s="272"/>
      <c r="J40" s="105"/>
      <c r="K40" s="105"/>
      <c r="L40" s="105"/>
      <c r="M40" s="105"/>
      <c r="N40" s="105"/>
      <c r="O40" s="105"/>
      <c r="P40" s="105"/>
      <c r="Q40" s="100"/>
      <c r="R40" s="100"/>
      <c r="S40" s="100"/>
      <c r="T40" s="100"/>
      <c r="U40" s="100"/>
      <c r="V40" s="100"/>
      <c r="W40" s="100"/>
      <c r="X40" s="100"/>
      <c r="Y40" s="80"/>
      <c r="AA40" s="106"/>
      <c r="AB40" s="107"/>
      <c r="AC40" s="265"/>
      <c r="AD40" s="265"/>
      <c r="AE40" s="265"/>
      <c r="AF40" s="265"/>
      <c r="AG40" s="265"/>
    </row>
    <row r="41" spans="1:40" ht="12.95" customHeight="1">
      <c r="A41" s="150"/>
      <c r="B41" s="99"/>
      <c r="C41" s="100"/>
      <c r="D41" s="100"/>
      <c r="E41" s="87"/>
      <c r="F41" s="126"/>
      <c r="G41" s="120"/>
      <c r="H41" s="273"/>
      <c r="I41" s="272"/>
      <c r="J41" s="105"/>
      <c r="K41" s="105"/>
      <c r="L41" s="105"/>
      <c r="M41" s="105"/>
      <c r="N41" s="105"/>
      <c r="O41" s="105"/>
      <c r="P41" s="105"/>
      <c r="Q41" s="112"/>
      <c r="R41" s="112"/>
      <c r="S41" s="112"/>
      <c r="T41" s="112"/>
      <c r="U41" s="112"/>
      <c r="V41" s="112"/>
      <c r="W41" s="112"/>
      <c r="X41" s="112"/>
      <c r="Y41" s="80"/>
      <c r="AA41" s="106"/>
      <c r="AB41" s="107"/>
      <c r="AC41" s="265"/>
      <c r="AD41" s="265"/>
      <c r="AE41" s="265"/>
      <c r="AF41" s="265"/>
      <c r="AG41" s="265"/>
    </row>
    <row r="42" spans="1:40" ht="12.95" customHeight="1">
      <c r="A42" s="150"/>
      <c r="B42" s="99"/>
      <c r="C42" s="100"/>
      <c r="D42" s="100"/>
      <c r="E42" s="93" t="s">
        <v>246</v>
      </c>
      <c r="F42" s="123" t="s">
        <v>133</v>
      </c>
      <c r="G42" s="124">
        <v>22</v>
      </c>
      <c r="H42" s="94"/>
      <c r="I42" s="157"/>
      <c r="J42" s="105"/>
      <c r="K42" s="105"/>
      <c r="L42" s="105"/>
      <c r="M42" s="105"/>
      <c r="N42" s="105"/>
      <c r="O42" s="105"/>
      <c r="P42" s="105"/>
      <c r="Q42" s="91"/>
      <c r="R42" s="91"/>
      <c r="S42" s="91"/>
      <c r="T42" s="91"/>
      <c r="U42" s="91"/>
      <c r="V42" s="91"/>
      <c r="W42" s="91"/>
      <c r="X42" s="91"/>
      <c r="Y42" s="80"/>
      <c r="AA42" s="106"/>
      <c r="AB42" s="107"/>
      <c r="AC42" s="265"/>
      <c r="AD42" s="265"/>
      <c r="AE42" s="265"/>
      <c r="AF42" s="265"/>
      <c r="AG42" s="265"/>
    </row>
    <row r="43" spans="1:40" ht="12.95" customHeight="1">
      <c r="A43" s="150"/>
      <c r="B43" s="99"/>
      <c r="C43" s="100"/>
      <c r="D43" s="100"/>
      <c r="E43" s="102"/>
      <c r="F43" s="113" t="s">
        <v>121</v>
      </c>
      <c r="G43" s="135" t="s">
        <v>249</v>
      </c>
      <c r="H43" s="103"/>
      <c r="I43" s="131"/>
      <c r="J43" s="105"/>
      <c r="K43" s="105"/>
      <c r="L43" s="105"/>
      <c r="M43" s="105"/>
      <c r="N43" s="105"/>
      <c r="O43" s="105"/>
      <c r="P43" s="105"/>
      <c r="Q43" s="100"/>
      <c r="R43" s="100"/>
      <c r="S43" s="100"/>
      <c r="T43" s="100"/>
      <c r="U43" s="100"/>
      <c r="V43" s="100"/>
      <c r="W43" s="100"/>
      <c r="X43" s="100"/>
      <c r="Y43" s="80"/>
      <c r="AA43" s="106"/>
      <c r="AB43" s="107"/>
      <c r="AC43" s="265"/>
      <c r="AD43" s="265"/>
      <c r="AE43" s="265"/>
      <c r="AF43" s="265"/>
      <c r="AG43" s="265"/>
    </row>
    <row r="44" spans="1:40" ht="12.95" customHeight="1">
      <c r="A44" s="150"/>
      <c r="B44" s="99"/>
      <c r="C44" s="100"/>
      <c r="D44" s="100"/>
      <c r="E44" s="108"/>
      <c r="F44" s="126"/>
      <c r="G44" s="122"/>
      <c r="H44" s="109"/>
      <c r="I44" s="136"/>
      <c r="J44" s="105"/>
      <c r="K44" s="105"/>
      <c r="L44" s="105"/>
      <c r="M44" s="105"/>
      <c r="N44" s="105"/>
      <c r="O44" s="105"/>
      <c r="P44" s="105"/>
      <c r="Q44" s="112"/>
      <c r="R44" s="112"/>
      <c r="S44" s="112"/>
      <c r="T44" s="112"/>
      <c r="U44" s="112"/>
      <c r="V44" s="112"/>
      <c r="W44" s="112"/>
      <c r="X44" s="112"/>
      <c r="Y44" s="80"/>
      <c r="AA44" s="107"/>
      <c r="AB44" s="107"/>
      <c r="AC44" s="265"/>
      <c r="AD44" s="265"/>
      <c r="AE44" s="265"/>
      <c r="AF44" s="265"/>
      <c r="AG44" s="265"/>
    </row>
    <row r="45" spans="1:40" ht="12.95" customHeight="1">
      <c r="A45" s="150"/>
      <c r="B45" s="99"/>
      <c r="C45" s="100"/>
      <c r="D45" s="100"/>
      <c r="E45" s="93" t="s">
        <v>304</v>
      </c>
      <c r="F45" s="113" t="s">
        <v>305</v>
      </c>
      <c r="G45" s="182" t="s">
        <v>306</v>
      </c>
      <c r="H45" s="94"/>
      <c r="I45" s="157"/>
      <c r="J45" s="105"/>
      <c r="K45" s="105"/>
      <c r="L45" s="105"/>
      <c r="M45" s="105"/>
      <c r="N45" s="105"/>
      <c r="O45" s="105"/>
      <c r="P45" s="105"/>
      <c r="Q45" s="91"/>
      <c r="R45" s="91"/>
      <c r="S45" s="91"/>
      <c r="T45" s="91"/>
      <c r="U45" s="91"/>
      <c r="V45" s="91"/>
      <c r="W45" s="91"/>
      <c r="X45" s="91"/>
      <c r="Y45" s="80"/>
      <c r="AA45" s="107"/>
      <c r="AB45" s="107"/>
      <c r="AC45" s="265"/>
      <c r="AD45" s="265"/>
      <c r="AE45" s="265"/>
      <c r="AF45" s="265"/>
      <c r="AG45" s="265"/>
    </row>
    <row r="46" spans="1:40" ht="12.95" customHeight="1">
      <c r="A46" s="150"/>
      <c r="B46" s="99"/>
      <c r="C46" s="100"/>
      <c r="D46" s="100"/>
      <c r="E46" s="183"/>
      <c r="F46" s="184"/>
      <c r="G46" s="185"/>
      <c r="H46" s="103"/>
      <c r="I46" s="131"/>
      <c r="J46" s="105"/>
      <c r="K46" s="105"/>
      <c r="L46" s="105"/>
      <c r="M46" s="105"/>
      <c r="N46" s="105"/>
      <c r="O46" s="105"/>
      <c r="P46" s="105"/>
      <c r="Q46" s="100"/>
      <c r="R46" s="100"/>
      <c r="S46" s="100"/>
      <c r="T46" s="100"/>
      <c r="U46" s="100"/>
      <c r="V46" s="100"/>
      <c r="W46" s="100"/>
      <c r="X46" s="100"/>
      <c r="Y46" s="80"/>
      <c r="AA46" s="107"/>
      <c r="AB46" s="107"/>
      <c r="AC46" s="265"/>
      <c r="AD46" s="265"/>
      <c r="AE46" s="265"/>
      <c r="AF46" s="265"/>
      <c r="AG46" s="265"/>
      <c r="AJ46" s="265"/>
      <c r="AK46" s="265"/>
      <c r="AL46" s="265"/>
      <c r="AM46" s="265"/>
      <c r="AN46" s="265"/>
    </row>
    <row r="47" spans="1:40" ht="12.95" customHeight="1">
      <c r="A47" s="164"/>
      <c r="B47" s="132"/>
      <c r="C47" s="112"/>
      <c r="D47" s="100"/>
      <c r="E47" s="186"/>
      <c r="F47" s="187"/>
      <c r="G47" s="162"/>
      <c r="H47" s="109"/>
      <c r="I47" s="136"/>
      <c r="J47" s="137"/>
      <c r="K47" s="137"/>
      <c r="L47" s="137"/>
      <c r="M47" s="137"/>
      <c r="N47" s="137"/>
      <c r="O47" s="137"/>
      <c r="P47" s="137"/>
      <c r="Q47" s="112"/>
      <c r="R47" s="112"/>
      <c r="S47" s="112"/>
      <c r="T47" s="112"/>
      <c r="U47" s="112"/>
      <c r="V47" s="112"/>
      <c r="W47" s="112"/>
      <c r="X47" s="112"/>
      <c r="Y47" s="85"/>
      <c r="AA47" s="188"/>
      <c r="AB47" s="107"/>
      <c r="AC47" s="265"/>
      <c r="AD47" s="265"/>
      <c r="AE47" s="265"/>
      <c r="AF47" s="265"/>
      <c r="AG47" s="265"/>
      <c r="AJ47" s="265"/>
      <c r="AK47" s="265"/>
      <c r="AL47" s="265"/>
      <c r="AM47" s="265"/>
      <c r="AN47" s="265"/>
    </row>
    <row r="48" spans="1:40" s="145" customFormat="1" ht="12.95" customHeight="1">
      <c r="A48" s="147"/>
      <c r="B48" s="139" t="s">
        <v>66</v>
      </c>
      <c r="C48" s="140"/>
      <c r="D48" s="141"/>
      <c r="E48" s="274" t="s">
        <v>125</v>
      </c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6"/>
      <c r="AA48" s="106"/>
      <c r="AB48" s="107"/>
      <c r="AC48" s="265"/>
      <c r="AD48" s="265"/>
      <c r="AE48" s="265"/>
      <c r="AF48" s="265"/>
      <c r="AG48" s="265"/>
      <c r="AH48" s="58"/>
      <c r="AI48" s="58"/>
      <c r="AJ48" s="265"/>
      <c r="AK48" s="265"/>
      <c r="AL48" s="265"/>
      <c r="AM48" s="265"/>
      <c r="AN48" s="265"/>
    </row>
    <row r="49" spans="1:40" ht="12.95" customHeight="1">
      <c r="A49" s="147">
        <v>269</v>
      </c>
      <c r="B49" s="90">
        <v>43937</v>
      </c>
      <c r="C49" s="91" t="s">
        <v>88</v>
      </c>
      <c r="D49" s="92" t="s">
        <v>140</v>
      </c>
      <c r="E49" s="191" t="s">
        <v>316</v>
      </c>
      <c r="F49" s="128" t="s">
        <v>268</v>
      </c>
      <c r="G49" s="129">
        <v>21</v>
      </c>
      <c r="H49" s="195"/>
      <c r="I49" s="196"/>
      <c r="J49" s="96">
        <v>5.2</v>
      </c>
      <c r="K49" s="96">
        <v>1.9</v>
      </c>
      <c r="L49" s="96">
        <v>0</v>
      </c>
      <c r="M49" s="96">
        <v>1.6</v>
      </c>
      <c r="N49" s="96">
        <v>0</v>
      </c>
      <c r="O49" s="96">
        <v>2.5</v>
      </c>
      <c r="P49" s="96">
        <f>SUM(J49*70+K49*75+L49*120+M49*25+N49*60+O49*45)</f>
        <v>659</v>
      </c>
      <c r="Q49" s="91" t="s">
        <v>89</v>
      </c>
      <c r="R49" s="91" t="s">
        <v>89</v>
      </c>
      <c r="S49" s="91" t="s">
        <v>89</v>
      </c>
      <c r="T49" s="91" t="s">
        <v>89</v>
      </c>
      <c r="U49" s="91" t="s">
        <v>89</v>
      </c>
      <c r="V49" s="91" t="s">
        <v>89</v>
      </c>
      <c r="W49" s="91" t="s">
        <v>89</v>
      </c>
      <c r="X49" s="91" t="s">
        <v>89</v>
      </c>
      <c r="Y49" s="91"/>
      <c r="AA49" s="106"/>
      <c r="AC49" s="265"/>
      <c r="AJ49" s="265"/>
      <c r="AK49" s="265"/>
      <c r="AL49" s="265"/>
      <c r="AM49" s="265"/>
      <c r="AN49" s="265"/>
    </row>
    <row r="50" spans="1:40" ht="12.95" customHeight="1">
      <c r="A50" s="150"/>
      <c r="B50" s="99"/>
      <c r="C50" s="100"/>
      <c r="D50" s="101"/>
      <c r="E50" s="194"/>
      <c r="F50" s="277" t="s">
        <v>391</v>
      </c>
      <c r="G50" s="196">
        <v>6</v>
      </c>
      <c r="H50" s="278"/>
      <c r="I50" s="114"/>
      <c r="J50" s="105"/>
      <c r="K50" s="105"/>
      <c r="L50" s="105"/>
      <c r="M50" s="105"/>
      <c r="N50" s="105"/>
      <c r="O50" s="105"/>
      <c r="P50" s="105"/>
      <c r="Q50" s="100"/>
      <c r="R50" s="100"/>
      <c r="S50" s="100"/>
      <c r="T50" s="100"/>
      <c r="U50" s="100"/>
      <c r="V50" s="100"/>
      <c r="W50" s="100"/>
      <c r="X50" s="100"/>
      <c r="Y50" s="100"/>
      <c r="AA50" s="106"/>
      <c r="AB50" s="107"/>
      <c r="AC50" s="265"/>
      <c r="AJ50" s="265"/>
      <c r="AK50" s="265"/>
      <c r="AL50" s="265"/>
      <c r="AM50" s="265"/>
      <c r="AN50" s="265"/>
    </row>
    <row r="51" spans="1:40" ht="12.95" customHeight="1">
      <c r="A51" s="150"/>
      <c r="B51" s="99"/>
      <c r="C51" s="100"/>
      <c r="D51" s="101"/>
      <c r="E51" s="199"/>
      <c r="F51" s="134"/>
      <c r="G51" s="162"/>
      <c r="H51" s="251"/>
      <c r="I51" s="252"/>
      <c r="J51" s="105"/>
      <c r="K51" s="105"/>
      <c r="L51" s="105"/>
      <c r="M51" s="105"/>
      <c r="N51" s="105"/>
      <c r="O51" s="105"/>
      <c r="P51" s="105"/>
      <c r="Q51" s="112"/>
      <c r="R51" s="112"/>
      <c r="S51" s="112"/>
      <c r="T51" s="112"/>
      <c r="U51" s="112"/>
      <c r="V51" s="112"/>
      <c r="W51" s="112"/>
      <c r="X51" s="112"/>
      <c r="Y51" s="100"/>
      <c r="AA51" s="106"/>
      <c r="AB51" s="107"/>
      <c r="AC51" s="265"/>
      <c r="AJ51" s="265"/>
      <c r="AK51" s="265"/>
      <c r="AL51" s="265"/>
      <c r="AM51" s="265"/>
      <c r="AN51" s="265"/>
    </row>
    <row r="52" spans="1:40" ht="12.95" customHeight="1">
      <c r="A52" s="150"/>
      <c r="B52" s="99"/>
      <c r="C52" s="100"/>
      <c r="D52" s="101"/>
      <c r="E52" s="93" t="s">
        <v>269</v>
      </c>
      <c r="F52" s="115" t="s">
        <v>213</v>
      </c>
      <c r="G52" s="116">
        <f>ROUND(55*A49/1000,0)</f>
        <v>15</v>
      </c>
      <c r="H52" s="125"/>
      <c r="I52" s="116"/>
      <c r="J52" s="105"/>
      <c r="K52" s="105"/>
      <c r="L52" s="105"/>
      <c r="M52" s="105"/>
      <c r="N52" s="105"/>
      <c r="O52" s="105"/>
      <c r="P52" s="105"/>
      <c r="Q52" s="91"/>
      <c r="R52" s="91"/>
      <c r="S52" s="91"/>
      <c r="T52" s="91"/>
      <c r="U52" s="91"/>
      <c r="V52" s="91"/>
      <c r="W52" s="91"/>
      <c r="X52" s="91"/>
      <c r="Y52" s="100"/>
      <c r="AA52" s="106"/>
      <c r="AB52" s="107"/>
      <c r="AC52" s="265"/>
      <c r="AJ52" s="265"/>
      <c r="AK52" s="265"/>
      <c r="AL52" s="265"/>
      <c r="AM52" s="265"/>
      <c r="AN52" s="265"/>
    </row>
    <row r="53" spans="1:40" ht="12.95" customHeight="1">
      <c r="A53" s="150"/>
      <c r="B53" s="99"/>
      <c r="C53" s="100"/>
      <c r="D53" s="101"/>
      <c r="E53" s="102"/>
      <c r="F53" s="115" t="s">
        <v>214</v>
      </c>
      <c r="G53" s="120">
        <f>ROUND(30*A49/1000,0)</f>
        <v>8</v>
      </c>
      <c r="H53" s="115"/>
      <c r="I53" s="120"/>
      <c r="J53" s="105"/>
      <c r="K53" s="105"/>
      <c r="L53" s="105"/>
      <c r="M53" s="105"/>
      <c r="N53" s="105"/>
      <c r="O53" s="105"/>
      <c r="P53" s="105"/>
      <c r="Q53" s="100"/>
      <c r="R53" s="100"/>
      <c r="S53" s="100"/>
      <c r="T53" s="100"/>
      <c r="U53" s="100"/>
      <c r="V53" s="100"/>
      <c r="W53" s="100"/>
      <c r="X53" s="100"/>
      <c r="Y53" s="100"/>
      <c r="AA53" s="106"/>
      <c r="AB53" s="107"/>
      <c r="AC53" s="265"/>
      <c r="AJ53" s="265"/>
      <c r="AK53" s="265"/>
      <c r="AL53" s="265"/>
      <c r="AM53" s="265"/>
      <c r="AN53" s="265"/>
    </row>
    <row r="54" spans="1:40" ht="12.95" customHeight="1">
      <c r="A54" s="150"/>
      <c r="B54" s="99"/>
      <c r="C54" s="100"/>
      <c r="D54" s="101"/>
      <c r="E54" s="108"/>
      <c r="F54" s="115"/>
      <c r="G54" s="122"/>
      <c r="H54" s="126"/>
      <c r="I54" s="122"/>
      <c r="J54" s="105"/>
      <c r="K54" s="105"/>
      <c r="L54" s="105"/>
      <c r="M54" s="105"/>
      <c r="N54" s="105"/>
      <c r="O54" s="105"/>
      <c r="P54" s="105"/>
      <c r="Q54" s="112"/>
      <c r="R54" s="112"/>
      <c r="S54" s="112"/>
      <c r="T54" s="112"/>
      <c r="U54" s="112"/>
      <c r="V54" s="112"/>
      <c r="W54" s="112"/>
      <c r="X54" s="112"/>
      <c r="Y54" s="100"/>
      <c r="AA54" s="107"/>
      <c r="AB54" s="107"/>
      <c r="AC54" s="265"/>
      <c r="AJ54" s="265"/>
      <c r="AK54" s="265"/>
      <c r="AL54" s="265"/>
      <c r="AM54" s="265"/>
      <c r="AN54" s="265"/>
    </row>
    <row r="55" spans="1:40" ht="12.95" customHeight="1">
      <c r="A55" s="150"/>
      <c r="B55" s="99"/>
      <c r="C55" s="100"/>
      <c r="D55" s="101"/>
      <c r="E55" s="93" t="s">
        <v>246</v>
      </c>
      <c r="F55" s="123" t="s">
        <v>133</v>
      </c>
      <c r="G55" s="124">
        <v>22</v>
      </c>
      <c r="H55" s="94"/>
      <c r="I55" s="157"/>
      <c r="J55" s="105"/>
      <c r="K55" s="105"/>
      <c r="L55" s="105"/>
      <c r="M55" s="105"/>
      <c r="N55" s="105"/>
      <c r="O55" s="105"/>
      <c r="P55" s="105"/>
      <c r="Q55" s="91" t="s">
        <v>89</v>
      </c>
      <c r="R55" s="91" t="s">
        <v>89</v>
      </c>
      <c r="S55" s="91" t="s">
        <v>89</v>
      </c>
      <c r="T55" s="91" t="s">
        <v>89</v>
      </c>
      <c r="U55" s="91" t="s">
        <v>89</v>
      </c>
      <c r="V55" s="91" t="s">
        <v>89</v>
      </c>
      <c r="W55" s="91" t="s">
        <v>89</v>
      </c>
      <c r="X55" s="91" t="s">
        <v>89</v>
      </c>
      <c r="Y55" s="100"/>
      <c r="AA55" s="107"/>
      <c r="AB55" s="107"/>
      <c r="AC55" s="265"/>
      <c r="AJ55" s="265"/>
      <c r="AK55" s="265"/>
      <c r="AL55" s="265"/>
      <c r="AM55" s="265"/>
      <c r="AN55" s="265"/>
    </row>
    <row r="56" spans="1:40" ht="12.95" customHeight="1">
      <c r="A56" s="150"/>
      <c r="B56" s="99"/>
      <c r="C56" s="100"/>
      <c r="D56" s="101"/>
      <c r="E56" s="102"/>
      <c r="F56" s="113" t="s">
        <v>121</v>
      </c>
      <c r="G56" s="135" t="s">
        <v>249</v>
      </c>
      <c r="H56" s="103"/>
      <c r="I56" s="131"/>
      <c r="J56" s="105"/>
      <c r="K56" s="105"/>
      <c r="L56" s="105"/>
      <c r="M56" s="105"/>
      <c r="N56" s="105"/>
      <c r="O56" s="105"/>
      <c r="P56" s="105"/>
      <c r="Q56" s="100"/>
      <c r="R56" s="100"/>
      <c r="S56" s="100"/>
      <c r="T56" s="100"/>
      <c r="U56" s="100"/>
      <c r="V56" s="100"/>
      <c r="W56" s="100"/>
      <c r="X56" s="100"/>
      <c r="Y56" s="100"/>
      <c r="AA56" s="107"/>
      <c r="AB56" s="107"/>
      <c r="AC56" s="265"/>
      <c r="AJ56" s="265"/>
      <c r="AK56" s="265"/>
      <c r="AL56" s="265"/>
      <c r="AM56" s="265"/>
      <c r="AN56" s="265"/>
    </row>
    <row r="57" spans="1:40" ht="12.95" customHeight="1">
      <c r="A57" s="150"/>
      <c r="B57" s="99"/>
      <c r="C57" s="100"/>
      <c r="D57" s="101"/>
      <c r="E57" s="108"/>
      <c r="F57" s="126"/>
      <c r="G57" s="122"/>
      <c r="H57" s="109"/>
      <c r="I57" s="136"/>
      <c r="J57" s="105"/>
      <c r="K57" s="105"/>
      <c r="L57" s="105"/>
      <c r="M57" s="105"/>
      <c r="N57" s="105"/>
      <c r="O57" s="105"/>
      <c r="P57" s="105"/>
      <c r="Q57" s="112"/>
      <c r="R57" s="112"/>
      <c r="S57" s="112"/>
      <c r="T57" s="112"/>
      <c r="U57" s="112"/>
      <c r="V57" s="112"/>
      <c r="W57" s="112"/>
      <c r="X57" s="112"/>
      <c r="Y57" s="100"/>
      <c r="AA57" s="106"/>
      <c r="AB57" s="107"/>
      <c r="AC57" s="265"/>
      <c r="AJ57" s="265"/>
      <c r="AK57" s="265"/>
      <c r="AL57" s="265"/>
      <c r="AM57" s="265"/>
      <c r="AN57" s="265"/>
    </row>
    <row r="58" spans="1:40" ht="12.95" customHeight="1">
      <c r="A58" s="150"/>
      <c r="B58" s="99"/>
      <c r="C58" s="100"/>
      <c r="D58" s="101"/>
      <c r="E58" s="88" t="s">
        <v>194</v>
      </c>
      <c r="F58" s="254" t="s">
        <v>195</v>
      </c>
      <c r="G58" s="116">
        <v>4.8</v>
      </c>
      <c r="H58" s="94"/>
      <c r="I58" s="95"/>
      <c r="J58" s="105"/>
      <c r="K58" s="105"/>
      <c r="L58" s="105"/>
      <c r="M58" s="105"/>
      <c r="N58" s="105"/>
      <c r="O58" s="105"/>
      <c r="P58" s="105"/>
      <c r="Q58" s="91" t="s">
        <v>89</v>
      </c>
      <c r="R58" s="91" t="s">
        <v>89</v>
      </c>
      <c r="S58" s="91" t="s">
        <v>89</v>
      </c>
      <c r="T58" s="91" t="s">
        <v>89</v>
      </c>
      <c r="U58" s="91" t="s">
        <v>89</v>
      </c>
      <c r="V58" s="91" t="s">
        <v>89</v>
      </c>
      <c r="W58" s="91" t="s">
        <v>89</v>
      </c>
      <c r="X58" s="91" t="s">
        <v>89</v>
      </c>
      <c r="Y58" s="100"/>
      <c r="AC58" s="265"/>
      <c r="AJ58" s="265"/>
      <c r="AK58" s="265"/>
      <c r="AL58" s="265"/>
      <c r="AM58" s="265"/>
      <c r="AN58" s="265"/>
    </row>
    <row r="59" spans="1:40" ht="12.95" customHeight="1">
      <c r="A59" s="150"/>
      <c r="B59" s="99"/>
      <c r="C59" s="100"/>
      <c r="D59" s="101"/>
      <c r="E59" s="81"/>
      <c r="F59" s="115" t="s">
        <v>197</v>
      </c>
      <c r="G59" s="120">
        <f>ROUND(22.3*A49/1000,0)</f>
        <v>6</v>
      </c>
      <c r="H59" s="103"/>
      <c r="I59" s="104"/>
      <c r="J59" s="105"/>
      <c r="K59" s="105"/>
      <c r="L59" s="105"/>
      <c r="M59" s="105"/>
      <c r="N59" s="105"/>
      <c r="O59" s="105"/>
      <c r="P59" s="105"/>
      <c r="Q59" s="100"/>
      <c r="R59" s="100"/>
      <c r="S59" s="100"/>
      <c r="T59" s="100"/>
      <c r="U59" s="100"/>
      <c r="V59" s="100"/>
      <c r="W59" s="100"/>
      <c r="X59" s="100"/>
      <c r="Y59" s="100"/>
      <c r="AA59" s="106"/>
      <c r="AB59" s="107"/>
      <c r="AC59" s="265"/>
      <c r="AJ59" s="265"/>
      <c r="AK59" s="265"/>
      <c r="AL59" s="265"/>
      <c r="AM59" s="265"/>
      <c r="AN59" s="265"/>
    </row>
    <row r="60" spans="1:40" ht="12.95" customHeight="1">
      <c r="A60" s="164"/>
      <c r="B60" s="132"/>
      <c r="C60" s="112"/>
      <c r="D60" s="133"/>
      <c r="E60" s="87"/>
      <c r="F60" s="221" t="s">
        <v>196</v>
      </c>
      <c r="G60" s="122">
        <f>ROUND(2.5*A49/1000,1)</f>
        <v>0.7</v>
      </c>
      <c r="H60" s="109"/>
      <c r="I60" s="111"/>
      <c r="J60" s="137"/>
      <c r="K60" s="137"/>
      <c r="L60" s="137"/>
      <c r="M60" s="137"/>
      <c r="N60" s="137"/>
      <c r="O60" s="137"/>
      <c r="P60" s="137"/>
      <c r="Q60" s="112"/>
      <c r="R60" s="112"/>
      <c r="S60" s="112"/>
      <c r="T60" s="112"/>
      <c r="U60" s="112"/>
      <c r="V60" s="112"/>
      <c r="W60" s="112"/>
      <c r="X60" s="112"/>
      <c r="Y60" s="112"/>
      <c r="AA60" s="204"/>
      <c r="AB60" s="107"/>
      <c r="AC60" s="265"/>
      <c r="AJ60" s="265"/>
      <c r="AK60" s="265"/>
      <c r="AL60" s="265"/>
      <c r="AM60" s="265"/>
      <c r="AN60" s="265"/>
    </row>
    <row r="61" spans="1:40" s="145" customFormat="1" ht="12.95" customHeight="1">
      <c r="A61" s="147"/>
      <c r="B61" s="139" t="s">
        <v>90</v>
      </c>
      <c r="C61" s="140"/>
      <c r="D61" s="141"/>
      <c r="E61" s="165" t="s">
        <v>91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8"/>
      <c r="AA61" s="106"/>
      <c r="AB61" s="107"/>
      <c r="AC61" s="265"/>
      <c r="AD61" s="58"/>
      <c r="AE61" s="58"/>
      <c r="AF61" s="58"/>
      <c r="AG61" s="58"/>
      <c r="AH61" s="58"/>
      <c r="AI61" s="58"/>
      <c r="AJ61" s="265"/>
      <c r="AK61" s="265"/>
      <c r="AL61" s="265"/>
      <c r="AM61" s="265"/>
      <c r="AN61" s="265"/>
    </row>
    <row r="62" spans="1:40" ht="12.95" customHeight="1">
      <c r="A62" s="147">
        <v>269</v>
      </c>
      <c r="B62" s="90">
        <v>43938</v>
      </c>
      <c r="C62" s="74" t="s">
        <v>92</v>
      </c>
      <c r="D62" s="92" t="s">
        <v>335</v>
      </c>
      <c r="E62" s="93" t="s">
        <v>344</v>
      </c>
      <c r="F62" s="279" t="s">
        <v>345</v>
      </c>
      <c r="G62" s="129">
        <f>ROUND(61.6*A62/1000,0)</f>
        <v>17</v>
      </c>
      <c r="H62" s="94" t="s">
        <v>349</v>
      </c>
      <c r="I62" s="280" t="s">
        <v>348</v>
      </c>
      <c r="J62" s="96">
        <v>5.5</v>
      </c>
      <c r="K62" s="96">
        <v>3.8</v>
      </c>
      <c r="L62" s="96">
        <v>0</v>
      </c>
      <c r="M62" s="96">
        <v>1</v>
      </c>
      <c r="N62" s="96">
        <v>0</v>
      </c>
      <c r="O62" s="96">
        <v>2.5</v>
      </c>
      <c r="P62" s="96">
        <f>SUM(J62*70+K62*75+L62*120+M62*25+N62*60+O62*45)</f>
        <v>807.5</v>
      </c>
      <c r="Q62" s="91"/>
      <c r="R62" s="91"/>
      <c r="S62" s="91"/>
      <c r="T62" s="91"/>
      <c r="U62" s="91"/>
      <c r="V62" s="91"/>
      <c r="W62" s="91"/>
      <c r="X62" s="91"/>
      <c r="Y62" s="92" t="s">
        <v>350</v>
      </c>
      <c r="AA62" s="106"/>
      <c r="AC62" s="265"/>
      <c r="AJ62" s="265"/>
      <c r="AK62" s="265"/>
      <c r="AL62" s="265"/>
      <c r="AM62" s="265"/>
      <c r="AN62" s="265"/>
    </row>
    <row r="63" spans="1:40" ht="12.95" customHeight="1">
      <c r="A63" s="150"/>
      <c r="B63" s="99"/>
      <c r="C63" s="80"/>
      <c r="D63" s="101"/>
      <c r="E63" s="81"/>
      <c r="F63" s="195" t="s">
        <v>346</v>
      </c>
      <c r="G63" s="196">
        <f>ROUND(18*A62/1000,0)</f>
        <v>5</v>
      </c>
      <c r="H63" s="103"/>
      <c r="I63" s="131"/>
      <c r="J63" s="105"/>
      <c r="K63" s="105"/>
      <c r="L63" s="105"/>
      <c r="M63" s="105"/>
      <c r="N63" s="105"/>
      <c r="O63" s="105"/>
      <c r="P63" s="105"/>
      <c r="Q63" s="100"/>
      <c r="R63" s="100"/>
      <c r="S63" s="100"/>
      <c r="T63" s="100"/>
      <c r="U63" s="100"/>
      <c r="V63" s="100"/>
      <c r="W63" s="100"/>
      <c r="X63" s="100"/>
      <c r="Y63" s="100"/>
      <c r="AA63" s="107"/>
      <c r="AB63" s="250"/>
      <c r="AC63" s="265"/>
      <c r="AJ63" s="265"/>
      <c r="AK63" s="265"/>
      <c r="AL63" s="265"/>
      <c r="AM63" s="265"/>
      <c r="AN63" s="265"/>
    </row>
    <row r="64" spans="1:40" ht="12.95" customHeight="1">
      <c r="A64" s="150"/>
      <c r="B64" s="99"/>
      <c r="C64" s="80"/>
      <c r="D64" s="101"/>
      <c r="E64" s="87"/>
      <c r="F64" s="251" t="s">
        <v>347</v>
      </c>
      <c r="G64" s="252">
        <v>0.6</v>
      </c>
      <c r="H64" s="109"/>
      <c r="I64" s="136"/>
      <c r="J64" s="105"/>
      <c r="K64" s="105"/>
      <c r="L64" s="105"/>
      <c r="M64" s="105"/>
      <c r="N64" s="105"/>
      <c r="O64" s="105"/>
      <c r="P64" s="105"/>
      <c r="Q64" s="112"/>
      <c r="R64" s="112"/>
      <c r="S64" s="112"/>
      <c r="T64" s="112"/>
      <c r="U64" s="112"/>
      <c r="V64" s="112"/>
      <c r="W64" s="112"/>
      <c r="X64" s="112"/>
      <c r="Y64" s="100"/>
      <c r="AA64" s="106"/>
      <c r="AB64" s="250"/>
      <c r="AC64" s="265"/>
      <c r="AJ64" s="265"/>
      <c r="AK64" s="265"/>
      <c r="AL64" s="265"/>
      <c r="AM64" s="265"/>
      <c r="AN64" s="265"/>
    </row>
    <row r="65" spans="1:40" ht="12.95" customHeight="1">
      <c r="A65" s="150"/>
      <c r="B65" s="99"/>
      <c r="C65" s="80"/>
      <c r="D65" s="101"/>
      <c r="E65" s="93" t="s">
        <v>270</v>
      </c>
      <c r="F65" s="128" t="s">
        <v>215</v>
      </c>
      <c r="G65" s="159">
        <f>ROUND(45*A62/1000,0)</f>
        <v>12</v>
      </c>
      <c r="H65" s="118" t="s">
        <v>216</v>
      </c>
      <c r="I65" s="114" t="s">
        <v>217</v>
      </c>
      <c r="J65" s="105"/>
      <c r="K65" s="105"/>
      <c r="L65" s="105"/>
      <c r="M65" s="105"/>
      <c r="N65" s="105"/>
      <c r="O65" s="105"/>
      <c r="P65" s="105"/>
      <c r="Q65" s="91"/>
      <c r="R65" s="91"/>
      <c r="S65" s="91"/>
      <c r="T65" s="91"/>
      <c r="U65" s="91"/>
      <c r="V65" s="91"/>
      <c r="W65" s="91"/>
      <c r="X65" s="91"/>
      <c r="Y65" s="100"/>
      <c r="AA65" s="106"/>
      <c r="AC65" s="265"/>
      <c r="AJ65" s="265"/>
      <c r="AK65" s="265"/>
      <c r="AL65" s="265"/>
      <c r="AM65" s="265"/>
      <c r="AN65" s="265"/>
    </row>
    <row r="66" spans="1:40" ht="12.95" customHeight="1">
      <c r="A66" s="150"/>
      <c r="B66" s="99"/>
      <c r="C66" s="80"/>
      <c r="D66" s="101"/>
      <c r="E66" s="81"/>
      <c r="F66" s="195" t="s">
        <v>218</v>
      </c>
      <c r="G66" s="256">
        <f>ROUND(15*A62/1000,0)</f>
        <v>4</v>
      </c>
      <c r="H66" s="118"/>
      <c r="I66" s="114"/>
      <c r="J66" s="105"/>
      <c r="K66" s="105"/>
      <c r="L66" s="105"/>
      <c r="M66" s="105"/>
      <c r="N66" s="105"/>
      <c r="O66" s="105"/>
      <c r="P66" s="105"/>
      <c r="Q66" s="100"/>
      <c r="R66" s="100"/>
      <c r="S66" s="100"/>
      <c r="T66" s="100"/>
      <c r="U66" s="100"/>
      <c r="V66" s="100"/>
      <c r="W66" s="100"/>
      <c r="X66" s="100"/>
      <c r="Y66" s="100"/>
      <c r="AA66" s="106"/>
      <c r="AB66" s="107"/>
      <c r="AC66" s="265"/>
      <c r="AJ66" s="265"/>
      <c r="AK66" s="265"/>
      <c r="AL66" s="265"/>
      <c r="AM66" s="265"/>
      <c r="AN66" s="265"/>
    </row>
    <row r="67" spans="1:40" ht="12.95" customHeight="1">
      <c r="A67" s="150"/>
      <c r="B67" s="99"/>
      <c r="C67" s="80"/>
      <c r="D67" s="101"/>
      <c r="E67" s="87"/>
      <c r="F67" s="118" t="s">
        <v>219</v>
      </c>
      <c r="G67" s="114">
        <f>ROUND(19*A62/1000,0)</f>
        <v>5</v>
      </c>
      <c r="H67" s="118"/>
      <c r="I67" s="162"/>
      <c r="J67" s="105"/>
      <c r="K67" s="105"/>
      <c r="L67" s="105"/>
      <c r="M67" s="105"/>
      <c r="N67" s="105"/>
      <c r="O67" s="105"/>
      <c r="P67" s="105"/>
      <c r="Q67" s="112"/>
      <c r="R67" s="112"/>
      <c r="S67" s="112"/>
      <c r="T67" s="112"/>
      <c r="U67" s="112"/>
      <c r="V67" s="112"/>
      <c r="W67" s="112"/>
      <c r="X67" s="112"/>
      <c r="Y67" s="100"/>
      <c r="AA67" s="106"/>
      <c r="AB67" s="107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</row>
    <row r="68" spans="1:40" ht="12.95" customHeight="1">
      <c r="A68" s="150"/>
      <c r="B68" s="99"/>
      <c r="C68" s="80"/>
      <c r="D68" s="101"/>
      <c r="E68" s="93" t="s">
        <v>246</v>
      </c>
      <c r="F68" s="123" t="s">
        <v>133</v>
      </c>
      <c r="G68" s="124">
        <v>22</v>
      </c>
      <c r="H68" s="94"/>
      <c r="I68" s="157"/>
      <c r="J68" s="105"/>
      <c r="K68" s="105"/>
      <c r="L68" s="105"/>
      <c r="M68" s="105"/>
      <c r="N68" s="105"/>
      <c r="O68" s="105"/>
      <c r="P68" s="105"/>
      <c r="Q68" s="91"/>
      <c r="R68" s="91"/>
      <c r="S68" s="91"/>
      <c r="T68" s="91"/>
      <c r="U68" s="91"/>
      <c r="V68" s="91"/>
      <c r="W68" s="91"/>
      <c r="X68" s="91"/>
      <c r="Y68" s="100"/>
      <c r="AA68" s="107"/>
      <c r="AB68" s="107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</row>
    <row r="69" spans="1:40" ht="12.95" customHeight="1">
      <c r="A69" s="150"/>
      <c r="B69" s="99"/>
      <c r="C69" s="80"/>
      <c r="D69" s="101"/>
      <c r="E69" s="102"/>
      <c r="F69" s="113" t="s">
        <v>121</v>
      </c>
      <c r="G69" s="135" t="s">
        <v>249</v>
      </c>
      <c r="H69" s="103"/>
      <c r="I69" s="131"/>
      <c r="J69" s="105"/>
      <c r="K69" s="105"/>
      <c r="L69" s="105"/>
      <c r="M69" s="105"/>
      <c r="N69" s="105"/>
      <c r="O69" s="105"/>
      <c r="P69" s="105"/>
      <c r="Q69" s="100"/>
      <c r="R69" s="100"/>
      <c r="S69" s="100"/>
      <c r="T69" s="100"/>
      <c r="U69" s="100"/>
      <c r="V69" s="100"/>
      <c r="W69" s="100"/>
      <c r="X69" s="100"/>
      <c r="Y69" s="100"/>
      <c r="AA69" s="107"/>
      <c r="AB69" s="107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</row>
    <row r="70" spans="1:40" ht="12.95" customHeight="1">
      <c r="A70" s="164"/>
      <c r="B70" s="99"/>
      <c r="C70" s="80"/>
      <c r="D70" s="101"/>
      <c r="E70" s="108"/>
      <c r="F70" s="126"/>
      <c r="G70" s="122"/>
      <c r="H70" s="109"/>
      <c r="I70" s="136"/>
      <c r="J70" s="105"/>
      <c r="K70" s="105"/>
      <c r="L70" s="105"/>
      <c r="M70" s="105"/>
      <c r="N70" s="105"/>
      <c r="O70" s="105"/>
      <c r="P70" s="105"/>
      <c r="Q70" s="112"/>
      <c r="R70" s="112"/>
      <c r="S70" s="112"/>
      <c r="T70" s="112"/>
      <c r="U70" s="112"/>
      <c r="V70" s="112"/>
      <c r="W70" s="112"/>
      <c r="X70" s="112"/>
      <c r="Y70" s="100"/>
      <c r="AA70" s="106"/>
      <c r="AB70" s="107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</row>
    <row r="71" spans="1:40" ht="12.95" customHeight="1">
      <c r="A71" s="150"/>
      <c r="B71" s="99"/>
      <c r="C71" s="80"/>
      <c r="D71" s="101"/>
      <c r="E71" s="93" t="s">
        <v>220</v>
      </c>
      <c r="F71" s="211" t="s">
        <v>221</v>
      </c>
      <c r="G71" s="55">
        <f>ROUND(34.4*A62/1000,0)</f>
        <v>9</v>
      </c>
      <c r="H71" s="125"/>
      <c r="I71" s="116"/>
      <c r="J71" s="105"/>
      <c r="K71" s="105"/>
      <c r="L71" s="105"/>
      <c r="M71" s="105"/>
      <c r="N71" s="105"/>
      <c r="O71" s="105"/>
      <c r="P71" s="105"/>
      <c r="Q71" s="91"/>
      <c r="R71" s="91"/>
      <c r="S71" s="91"/>
      <c r="T71" s="91"/>
      <c r="U71" s="91"/>
      <c r="V71" s="91"/>
      <c r="W71" s="91"/>
      <c r="X71" s="91"/>
      <c r="Y71" s="100"/>
      <c r="AA71" s="106"/>
      <c r="AB71" s="107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</row>
    <row r="72" spans="1:40" ht="12.95" customHeight="1">
      <c r="A72" s="150"/>
      <c r="B72" s="99"/>
      <c r="C72" s="80"/>
      <c r="D72" s="101"/>
      <c r="E72" s="102"/>
      <c r="F72" s="130" t="s">
        <v>222</v>
      </c>
      <c r="G72" s="160">
        <f>ROUND(8.2*A62/1000,0)</f>
        <v>2</v>
      </c>
      <c r="H72" s="115"/>
      <c r="I72" s="120"/>
      <c r="J72" s="105"/>
      <c r="K72" s="105"/>
      <c r="L72" s="105"/>
      <c r="M72" s="105"/>
      <c r="N72" s="105"/>
      <c r="O72" s="105"/>
      <c r="P72" s="105"/>
      <c r="Q72" s="100"/>
      <c r="R72" s="100"/>
      <c r="S72" s="100"/>
      <c r="T72" s="100"/>
      <c r="U72" s="100"/>
      <c r="V72" s="100"/>
      <c r="W72" s="100"/>
      <c r="X72" s="100"/>
      <c r="Y72" s="100"/>
      <c r="AA72" s="106"/>
      <c r="AB72" s="107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</row>
    <row r="73" spans="1:40" ht="12.95" customHeight="1">
      <c r="A73" s="150"/>
      <c r="B73" s="132"/>
      <c r="C73" s="85"/>
      <c r="D73" s="133"/>
      <c r="E73" s="108"/>
      <c r="F73" s="109" t="s">
        <v>223</v>
      </c>
      <c r="G73" s="111">
        <f>ROUND(9.8*A62/1000,0)</f>
        <v>3</v>
      </c>
      <c r="H73" s="126"/>
      <c r="I73" s="122"/>
      <c r="J73" s="137"/>
      <c r="K73" s="137"/>
      <c r="L73" s="137"/>
      <c r="M73" s="137"/>
      <c r="N73" s="137"/>
      <c r="O73" s="137"/>
      <c r="P73" s="137"/>
      <c r="Q73" s="112"/>
      <c r="R73" s="112"/>
      <c r="S73" s="112"/>
      <c r="T73" s="112"/>
      <c r="U73" s="112"/>
      <c r="V73" s="112"/>
      <c r="W73" s="112"/>
      <c r="X73" s="112"/>
      <c r="Y73" s="112"/>
      <c r="AA73" s="204"/>
      <c r="AB73" s="107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</row>
    <row r="74" spans="1:40" s="145" customFormat="1" ht="12.95" customHeight="1">
      <c r="A74" s="150"/>
      <c r="B74" s="139" t="s">
        <v>90</v>
      </c>
      <c r="C74" s="140"/>
      <c r="D74" s="141"/>
      <c r="E74" s="142" t="s">
        <v>382</v>
      </c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8"/>
      <c r="AA74" s="107"/>
      <c r="AB74" s="107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</row>
    <row r="75" spans="1:40" ht="5.25" customHeight="1">
      <c r="A75" s="58"/>
      <c r="B75" s="222" t="s">
        <v>93</v>
      </c>
      <c r="C75" s="223"/>
      <c r="D75" s="223"/>
      <c r="E75" s="224"/>
      <c r="F75" s="222" t="s">
        <v>94</v>
      </c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4"/>
      <c r="AB75" s="62"/>
    </row>
    <row r="76" spans="1:40" ht="5.25" customHeight="1">
      <c r="B76" s="225"/>
      <c r="C76" s="226"/>
      <c r="D76" s="226"/>
      <c r="E76" s="227"/>
      <c r="F76" s="225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7"/>
      <c r="AA76" s="107"/>
      <c r="AB76" s="107"/>
    </row>
    <row r="77" spans="1:40" ht="5.25" customHeight="1">
      <c r="B77" s="225"/>
      <c r="C77" s="226"/>
      <c r="D77" s="226"/>
      <c r="E77" s="227"/>
      <c r="F77" s="225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7"/>
      <c r="AA77" s="228"/>
      <c r="AB77" s="58"/>
    </row>
    <row r="78" spans="1:40" ht="5.25" customHeight="1">
      <c r="B78" s="230"/>
      <c r="C78" s="231"/>
      <c r="D78" s="231"/>
      <c r="E78" s="232"/>
      <c r="F78" s="230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2"/>
      <c r="AA78" s="233"/>
      <c r="AB78" s="234"/>
    </row>
    <row r="79" spans="1:40">
      <c r="B79" s="235" t="s">
        <v>42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AA79" s="58"/>
      <c r="AB79" s="207"/>
    </row>
    <row r="80" spans="1:40" ht="21">
      <c r="B80" s="236" t="s">
        <v>43</v>
      </c>
      <c r="C80" s="236"/>
      <c r="D80" s="236"/>
      <c r="E80" s="236"/>
      <c r="H80" s="236" t="s">
        <v>37</v>
      </c>
      <c r="I80" s="236"/>
      <c r="J80" s="236"/>
      <c r="K80" s="237"/>
      <c r="L80" s="237"/>
      <c r="M80" s="237"/>
      <c r="N80" s="238"/>
      <c r="O80" s="238"/>
      <c r="P80" s="239"/>
      <c r="Q80" s="239"/>
      <c r="R80" s="239"/>
      <c r="S80" s="238" t="s">
        <v>44</v>
      </c>
      <c r="T80" s="238"/>
      <c r="U80" s="240"/>
      <c r="V80" s="240"/>
      <c r="W80" s="240"/>
      <c r="X80" s="240"/>
      <c r="Y80" s="240"/>
      <c r="AA80" s="215"/>
      <c r="AB80" s="241"/>
    </row>
  </sheetData>
  <sheetProtection formatCells="0" selectLockedCells="1" selectUnlockedCells="1"/>
  <protectedRanges>
    <protectedRange password="C60F" sqref="P79:S79" name="範圍1_1_1"/>
  </protectedRanges>
  <mergeCells count="285">
    <mergeCell ref="B75:E78"/>
    <mergeCell ref="F75:Y78"/>
    <mergeCell ref="B79:Y79"/>
    <mergeCell ref="B80:E80"/>
    <mergeCell ref="H80:J80"/>
    <mergeCell ref="N80:O80"/>
    <mergeCell ref="S80:T80"/>
    <mergeCell ref="V45:V47"/>
    <mergeCell ref="P35:P47"/>
    <mergeCell ref="W39:W41"/>
    <mergeCell ref="T42:T44"/>
    <mergeCell ref="V39:V41"/>
    <mergeCell ref="V42:V44"/>
    <mergeCell ref="S45:S47"/>
    <mergeCell ref="X42:X44"/>
    <mergeCell ref="X45:X47"/>
    <mergeCell ref="W45:W47"/>
    <mergeCell ref="W42:W44"/>
    <mergeCell ref="X35:X38"/>
    <mergeCell ref="B49:B60"/>
    <mergeCell ref="C49:C60"/>
    <mergeCell ref="D49:D60"/>
    <mergeCell ref="B48:D48"/>
    <mergeCell ref="B61:D61"/>
    <mergeCell ref="J21:J33"/>
    <mergeCell ref="K21:K33"/>
    <mergeCell ref="L21:L33"/>
    <mergeCell ref="S31:S33"/>
    <mergeCell ref="E25:E27"/>
    <mergeCell ref="Q39:Q41"/>
    <mergeCell ref="R39:R41"/>
    <mergeCell ref="T39:T41"/>
    <mergeCell ref="T45:T47"/>
    <mergeCell ref="S39:S41"/>
    <mergeCell ref="S28:S30"/>
    <mergeCell ref="R28:R30"/>
    <mergeCell ref="S21:S24"/>
    <mergeCell ref="T21:T24"/>
    <mergeCell ref="E31:E33"/>
    <mergeCell ref="J35:J47"/>
    <mergeCell ref="Q28:Q30"/>
    <mergeCell ref="R21:R24"/>
    <mergeCell ref="O21:O33"/>
    <mergeCell ref="E35:E38"/>
    <mergeCell ref="T28:T30"/>
    <mergeCell ref="E34:Y34"/>
    <mergeCell ref="Q45:Q47"/>
    <mergeCell ref="R42:R44"/>
    <mergeCell ref="E2:G2"/>
    <mergeCell ref="H2:O2"/>
    <mergeCell ref="P2:U2"/>
    <mergeCell ref="N8:N19"/>
    <mergeCell ref="T8:T10"/>
    <mergeCell ref="R8:R10"/>
    <mergeCell ref="U8:U10"/>
    <mergeCell ref="Q8:Q10"/>
    <mergeCell ref="E21:E24"/>
    <mergeCell ref="Q21:Q24"/>
    <mergeCell ref="N21:N33"/>
    <mergeCell ref="P21:P33"/>
    <mergeCell ref="U25:U27"/>
    <mergeCell ref="T25:T27"/>
    <mergeCell ref="R31:R33"/>
    <mergeCell ref="Q31:Q33"/>
    <mergeCell ref="M21:M33"/>
    <mergeCell ref="G4:G7"/>
    <mergeCell ref="I4:I7"/>
    <mergeCell ref="E8:E10"/>
    <mergeCell ref="E11:E13"/>
    <mergeCell ref="E17:E19"/>
    <mergeCell ref="J8:J19"/>
    <mergeCell ref="K8:K19"/>
    <mergeCell ref="V4:V6"/>
    <mergeCell ref="U14:U16"/>
    <mergeCell ref="R17:R19"/>
    <mergeCell ref="X14:X16"/>
    <mergeCell ref="X17:X19"/>
    <mergeCell ref="E20:Y20"/>
    <mergeCell ref="S8:S10"/>
    <mergeCell ref="R14:R16"/>
    <mergeCell ref="Y3:Y7"/>
    <mergeCell ref="Q4:Q7"/>
    <mergeCell ref="Y8:Y19"/>
    <mergeCell ref="X8:X10"/>
    <mergeCell ref="U17:U19"/>
    <mergeCell ref="T14:T16"/>
    <mergeCell ref="V11:V13"/>
    <mergeCell ref="W8:W10"/>
    <mergeCell ref="W14:W16"/>
    <mergeCell ref="W17:W19"/>
    <mergeCell ref="V14:V16"/>
    <mergeCell ref="V17:V19"/>
    <mergeCell ref="T17:T19"/>
    <mergeCell ref="Q17:Q19"/>
    <mergeCell ref="U4:U6"/>
    <mergeCell ref="Y21:Y33"/>
    <mergeCell ref="W21:W24"/>
    <mergeCell ref="W31:W33"/>
    <mergeCell ref="U28:U30"/>
    <mergeCell ref="X31:X33"/>
    <mergeCell ref="V21:V24"/>
    <mergeCell ref="W25:W27"/>
    <mergeCell ref="X25:X27"/>
    <mergeCell ref="V28:V30"/>
    <mergeCell ref="U21:U24"/>
    <mergeCell ref="X21:X24"/>
    <mergeCell ref="V25:V27"/>
    <mergeCell ref="X28:X30"/>
    <mergeCell ref="W28:W30"/>
    <mergeCell ref="P1:V1"/>
    <mergeCell ref="W4:W6"/>
    <mergeCell ref="X4:X6"/>
    <mergeCell ref="Q11:Q13"/>
    <mergeCell ref="R11:R13"/>
    <mergeCell ref="S11:S13"/>
    <mergeCell ref="T11:T13"/>
    <mergeCell ref="U11:U13"/>
    <mergeCell ref="R4:R7"/>
    <mergeCell ref="Q3:S3"/>
    <mergeCell ref="V8:V10"/>
    <mergeCell ref="P8:P19"/>
    <mergeCell ref="Q14:Q16"/>
    <mergeCell ref="S17:S19"/>
    <mergeCell ref="J4:P4"/>
    <mergeCell ref="V2:X2"/>
    <mergeCell ref="T3:X3"/>
    <mergeCell ref="M8:M19"/>
    <mergeCell ref="S4:S7"/>
    <mergeCell ref="W11:W13"/>
    <mergeCell ref="L8:L19"/>
    <mergeCell ref="S14:S16"/>
    <mergeCell ref="X11:X13"/>
    <mergeCell ref="T4:T6"/>
    <mergeCell ref="E61:Y61"/>
    <mergeCell ref="Q58:Q60"/>
    <mergeCell ref="V55:V57"/>
    <mergeCell ref="X58:X60"/>
    <mergeCell ref="T55:T57"/>
    <mergeCell ref="Q49:Q51"/>
    <mergeCell ref="Q52:Q54"/>
    <mergeCell ref="R49:R51"/>
    <mergeCell ref="N62:N73"/>
    <mergeCell ref="E71:E73"/>
    <mergeCell ref="X65:X67"/>
    <mergeCell ref="M62:M73"/>
    <mergeCell ref="E52:E54"/>
    <mergeCell ref="U55:U57"/>
    <mergeCell ref="T49:T51"/>
    <mergeCell ref="R52:R54"/>
    <mergeCell ref="S52:S54"/>
    <mergeCell ref="T52:T54"/>
    <mergeCell ref="U58:U60"/>
    <mergeCell ref="W52:W54"/>
    <mergeCell ref="E65:E67"/>
    <mergeCell ref="E58:E60"/>
    <mergeCell ref="X52:X54"/>
    <mergeCell ref="V49:V51"/>
    <mergeCell ref="B3:B7"/>
    <mergeCell ref="C3:C7"/>
    <mergeCell ref="D3:D7"/>
    <mergeCell ref="E3:P3"/>
    <mergeCell ref="J5:J7"/>
    <mergeCell ref="K5:K7"/>
    <mergeCell ref="L5:L7"/>
    <mergeCell ref="M5:M7"/>
    <mergeCell ref="D8:D19"/>
    <mergeCell ref="N5:N7"/>
    <mergeCell ref="O5:O7"/>
    <mergeCell ref="P5:P7"/>
    <mergeCell ref="E4:E7"/>
    <mergeCell ref="F4:F7"/>
    <mergeCell ref="H4:H7"/>
    <mergeCell ref="B8:B19"/>
    <mergeCell ref="C8:C19"/>
    <mergeCell ref="O8:O19"/>
    <mergeCell ref="C35:C47"/>
    <mergeCell ref="D35:D47"/>
    <mergeCell ref="K49:K60"/>
    <mergeCell ref="V52:V54"/>
    <mergeCell ref="E14:E16"/>
    <mergeCell ref="B34:D34"/>
    <mergeCell ref="B20:D20"/>
    <mergeCell ref="Q42:Q44"/>
    <mergeCell ref="U45:U47"/>
    <mergeCell ref="U42:U44"/>
    <mergeCell ref="E28:E30"/>
    <mergeCell ref="E45:E47"/>
    <mergeCell ref="M35:M47"/>
    <mergeCell ref="T31:T33"/>
    <mergeCell ref="B21:B33"/>
    <mergeCell ref="C21:C33"/>
    <mergeCell ref="D21:D33"/>
    <mergeCell ref="Q25:Q27"/>
    <mergeCell ref="R25:R27"/>
    <mergeCell ref="S25:S27"/>
    <mergeCell ref="K35:K47"/>
    <mergeCell ref="U31:U33"/>
    <mergeCell ref="V31:V33"/>
    <mergeCell ref="R58:R60"/>
    <mergeCell ref="B62:B73"/>
    <mergeCell ref="C62:C73"/>
    <mergeCell ref="D62:D73"/>
    <mergeCell ref="B74:D74"/>
    <mergeCell ref="E74:Y74"/>
    <mergeCell ref="W68:W70"/>
    <mergeCell ref="X68:X70"/>
    <mergeCell ref="X62:X64"/>
    <mergeCell ref="W71:W73"/>
    <mergeCell ref="W62:W64"/>
    <mergeCell ref="V68:V70"/>
    <mergeCell ref="S65:S67"/>
    <mergeCell ref="U65:U67"/>
    <mergeCell ref="V65:V67"/>
    <mergeCell ref="W65:W67"/>
    <mergeCell ref="V62:V64"/>
    <mergeCell ref="V71:V73"/>
    <mergeCell ref="Q62:Q64"/>
    <mergeCell ref="R62:R64"/>
    <mergeCell ref="X71:X73"/>
    <mergeCell ref="E68:E70"/>
    <mergeCell ref="Y62:Y73"/>
    <mergeCell ref="B35:B47"/>
    <mergeCell ref="Q68:Q70"/>
    <mergeCell ref="P62:P73"/>
    <mergeCell ref="R68:R70"/>
    <mergeCell ref="S68:S70"/>
    <mergeCell ref="T71:T73"/>
    <mergeCell ref="T68:T70"/>
    <mergeCell ref="U68:U70"/>
    <mergeCell ref="U71:U73"/>
    <mergeCell ref="T62:T64"/>
    <mergeCell ref="T65:T67"/>
    <mergeCell ref="Q71:Q73"/>
    <mergeCell ref="Q65:Q67"/>
    <mergeCell ref="R71:R73"/>
    <mergeCell ref="R65:R67"/>
    <mergeCell ref="U62:U64"/>
    <mergeCell ref="S62:S64"/>
    <mergeCell ref="O62:O73"/>
    <mergeCell ref="S71:S73"/>
    <mergeCell ref="L35:L47"/>
    <mergeCell ref="J62:J73"/>
    <mergeCell ref="K62:K73"/>
    <mergeCell ref="L62:L73"/>
    <mergeCell ref="E62:E64"/>
    <mergeCell ref="E42:E44"/>
    <mergeCell ref="L49:L60"/>
    <mergeCell ref="S49:S51"/>
    <mergeCell ref="S55:S57"/>
    <mergeCell ref="N49:N60"/>
    <mergeCell ref="M49:M60"/>
    <mergeCell ref="S58:S60"/>
    <mergeCell ref="R55:R57"/>
    <mergeCell ref="T58:T60"/>
    <mergeCell ref="E48:Y48"/>
    <mergeCell ref="E49:E51"/>
    <mergeCell ref="O35:O47"/>
    <mergeCell ref="S42:S44"/>
    <mergeCell ref="R45:R47"/>
    <mergeCell ref="Y35:Y47"/>
    <mergeCell ref="W55:W57"/>
    <mergeCell ref="E55:E57"/>
    <mergeCell ref="O49:O60"/>
    <mergeCell ref="E39:E41"/>
    <mergeCell ref="J49:J60"/>
    <mergeCell ref="N35:N47"/>
    <mergeCell ref="Q35:Q38"/>
    <mergeCell ref="R35:R38"/>
    <mergeCell ref="S35:S38"/>
    <mergeCell ref="T35:T38"/>
    <mergeCell ref="Y49:Y60"/>
    <mergeCell ref="P49:P60"/>
    <mergeCell ref="Q55:Q57"/>
    <mergeCell ref="V58:V60"/>
    <mergeCell ref="X55:X57"/>
    <mergeCell ref="W49:W51"/>
    <mergeCell ref="X49:X51"/>
    <mergeCell ref="U52:U54"/>
    <mergeCell ref="W58:W60"/>
    <mergeCell ref="U35:U38"/>
    <mergeCell ref="U49:U51"/>
    <mergeCell ref="X39:X41"/>
    <mergeCell ref="U39:U41"/>
    <mergeCell ref="V35:V38"/>
    <mergeCell ref="W35:W38"/>
  </mergeCells>
  <phoneticPr fontId="3" type="noConversion"/>
  <printOptions horizontalCentered="1" verticalCentered="1"/>
  <pageMargins left="0.59055118110236227" right="0.39370078740157483" top="0.19685039370078741" bottom="0" header="0" footer="0"/>
  <pageSetup paperSize="9" scale="83" orientation="portrait" r:id="rId1"/>
  <headerFooter alignWithMargins="0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79"/>
  <sheetViews>
    <sheetView topLeftCell="A52" zoomScaleNormal="100" workbookViewId="0">
      <selection activeCell="AB20" sqref="AB20"/>
    </sheetView>
  </sheetViews>
  <sheetFormatPr defaultColWidth="9" defaultRowHeight="16.5"/>
  <cols>
    <col min="1" max="1" width="5.375" style="98" customWidth="1"/>
    <col min="2" max="2" width="3.625" style="57" customWidth="1"/>
    <col min="3" max="4" width="3.625" style="58" customWidth="1"/>
    <col min="5" max="5" width="11.625" style="58" customWidth="1"/>
    <col min="6" max="6" width="6.5" style="281" customWidth="1"/>
    <col min="7" max="7" width="5.625" style="58" customWidth="1"/>
    <col min="8" max="8" width="6.25" style="282" customWidth="1"/>
    <col min="9" max="9" width="3.625" style="63" customWidth="1"/>
    <col min="10" max="10" width="4" style="58" customWidth="1"/>
    <col min="11" max="11" width="3.625" style="58" customWidth="1"/>
    <col min="12" max="12" width="4" style="58" customWidth="1"/>
    <col min="13" max="13" width="3.875" style="58" customWidth="1"/>
    <col min="14" max="14" width="4.5" style="58" customWidth="1"/>
    <col min="15" max="21" width="3.875" style="58" customWidth="1"/>
    <col min="22" max="22" width="4.5" style="58" customWidth="1"/>
    <col min="23" max="25" width="3.875" style="58" customWidth="1"/>
    <col min="26" max="26" width="2.5" style="58" customWidth="1"/>
    <col min="27" max="27" width="5.75" style="97" customWidth="1"/>
    <col min="28" max="28" width="6" style="63" customWidth="1"/>
    <col min="29" max="16384" width="9" style="58"/>
  </cols>
  <sheetData>
    <row r="1" spans="1:40" s="233" customFormat="1">
      <c r="A1" s="56"/>
      <c r="B1" s="56"/>
      <c r="F1" s="281"/>
      <c r="G1" s="58"/>
      <c r="H1" s="282"/>
      <c r="I1" s="63"/>
      <c r="P1" s="244" t="s">
        <v>45</v>
      </c>
      <c r="Q1" s="244"/>
      <c r="R1" s="244"/>
      <c r="S1" s="244"/>
      <c r="T1" s="244"/>
      <c r="U1" s="244"/>
      <c r="V1" s="244"/>
      <c r="Y1" s="61">
        <v>20</v>
      </c>
      <c r="AA1" s="62"/>
      <c r="AB1" s="63"/>
    </row>
    <row r="2" spans="1:40" s="233" customFormat="1" ht="15.75" customHeight="1">
      <c r="A2" s="64"/>
      <c r="B2" s="245"/>
      <c r="C2" s="246"/>
      <c r="D2" s="246"/>
      <c r="E2" s="67" t="s">
        <v>374</v>
      </c>
      <c r="F2" s="68"/>
      <c r="G2" s="68"/>
      <c r="H2" s="247" t="s">
        <v>143</v>
      </c>
      <c r="I2" s="247"/>
      <c r="J2" s="247"/>
      <c r="K2" s="247"/>
      <c r="L2" s="247"/>
      <c r="M2" s="247"/>
      <c r="N2" s="247"/>
      <c r="O2" s="247"/>
      <c r="P2" s="247" t="s">
        <v>46</v>
      </c>
      <c r="Q2" s="247"/>
      <c r="R2" s="247"/>
      <c r="S2" s="247"/>
      <c r="T2" s="247"/>
      <c r="U2" s="247"/>
      <c r="V2" s="248" t="s">
        <v>47</v>
      </c>
      <c r="W2" s="248"/>
      <c r="X2" s="248"/>
      <c r="Y2" s="58">
        <v>5</v>
      </c>
      <c r="Z2" s="249"/>
      <c r="AA2" s="72"/>
      <c r="AB2" s="63"/>
    </row>
    <row r="3" spans="1:40" s="233" customFormat="1" ht="12.95" customHeight="1">
      <c r="A3" s="64"/>
      <c r="B3" s="283" t="s">
        <v>95</v>
      </c>
      <c r="C3" s="283" t="s">
        <v>96</v>
      </c>
      <c r="D3" s="283" t="s">
        <v>97</v>
      </c>
      <c r="E3" s="284" t="s">
        <v>98</v>
      </c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  <c r="Q3" s="284" t="s">
        <v>99</v>
      </c>
      <c r="R3" s="285"/>
      <c r="S3" s="286"/>
      <c r="T3" s="284" t="s">
        <v>100</v>
      </c>
      <c r="U3" s="285"/>
      <c r="V3" s="285"/>
      <c r="W3" s="285"/>
      <c r="X3" s="286"/>
      <c r="Y3" s="283" t="s">
        <v>101</v>
      </c>
      <c r="Z3" s="249"/>
      <c r="AA3" s="78"/>
      <c r="AB3" s="62"/>
    </row>
    <row r="4" spans="1:40" s="233" customFormat="1" ht="12.95" customHeight="1">
      <c r="A4" s="64"/>
      <c r="B4" s="287"/>
      <c r="C4" s="287"/>
      <c r="D4" s="287"/>
      <c r="E4" s="288" t="s">
        <v>102</v>
      </c>
      <c r="F4" s="289" t="s">
        <v>50</v>
      </c>
      <c r="G4" s="290" t="s">
        <v>103</v>
      </c>
      <c r="H4" s="289" t="s">
        <v>50</v>
      </c>
      <c r="I4" s="290" t="s">
        <v>103</v>
      </c>
      <c r="J4" s="284" t="s">
        <v>104</v>
      </c>
      <c r="K4" s="291"/>
      <c r="L4" s="291"/>
      <c r="M4" s="291"/>
      <c r="N4" s="291"/>
      <c r="O4" s="291"/>
      <c r="P4" s="292"/>
      <c r="Q4" s="283" t="s">
        <v>105</v>
      </c>
      <c r="R4" s="283" t="s">
        <v>106</v>
      </c>
      <c r="S4" s="283" t="s">
        <v>107</v>
      </c>
      <c r="T4" s="283" t="s">
        <v>108</v>
      </c>
      <c r="U4" s="283" t="s">
        <v>109</v>
      </c>
      <c r="V4" s="283" t="s">
        <v>110</v>
      </c>
      <c r="W4" s="283" t="s">
        <v>111</v>
      </c>
      <c r="X4" s="283" t="s">
        <v>112</v>
      </c>
      <c r="Y4" s="287"/>
      <c r="Z4" s="249"/>
      <c r="AA4" s="78"/>
      <c r="AB4" s="62"/>
    </row>
    <row r="5" spans="1:40" s="233" customFormat="1" ht="12.95" customHeight="1">
      <c r="A5" s="64"/>
      <c r="B5" s="287"/>
      <c r="C5" s="287"/>
      <c r="D5" s="287"/>
      <c r="E5" s="288"/>
      <c r="F5" s="289"/>
      <c r="G5" s="290"/>
      <c r="H5" s="289"/>
      <c r="I5" s="290"/>
      <c r="J5" s="290" t="s">
        <v>113</v>
      </c>
      <c r="K5" s="290" t="s">
        <v>114</v>
      </c>
      <c r="L5" s="290" t="s">
        <v>115</v>
      </c>
      <c r="M5" s="290" t="s">
        <v>116</v>
      </c>
      <c r="N5" s="290" t="s">
        <v>117</v>
      </c>
      <c r="O5" s="293" t="s">
        <v>118</v>
      </c>
      <c r="P5" s="290" t="s">
        <v>119</v>
      </c>
      <c r="Q5" s="287"/>
      <c r="R5" s="287"/>
      <c r="S5" s="287"/>
      <c r="T5" s="287"/>
      <c r="U5" s="287"/>
      <c r="V5" s="287"/>
      <c r="W5" s="287"/>
      <c r="X5" s="287"/>
      <c r="Y5" s="287"/>
      <c r="Z5" s="249"/>
      <c r="AA5" s="78"/>
      <c r="AB5" s="62"/>
    </row>
    <row r="6" spans="1:40" s="233" customFormat="1" ht="12.95" customHeight="1">
      <c r="A6" s="64"/>
      <c r="B6" s="287"/>
      <c r="C6" s="287"/>
      <c r="D6" s="287"/>
      <c r="E6" s="288"/>
      <c r="F6" s="289"/>
      <c r="G6" s="290"/>
      <c r="H6" s="289"/>
      <c r="I6" s="290"/>
      <c r="J6" s="290"/>
      <c r="K6" s="290"/>
      <c r="L6" s="290"/>
      <c r="M6" s="290"/>
      <c r="N6" s="290"/>
      <c r="O6" s="293"/>
      <c r="P6" s="290"/>
      <c r="Q6" s="287"/>
      <c r="R6" s="287"/>
      <c r="S6" s="287"/>
      <c r="T6" s="294"/>
      <c r="U6" s="294"/>
      <c r="V6" s="294"/>
      <c r="W6" s="294"/>
      <c r="X6" s="294"/>
      <c r="Y6" s="287"/>
      <c r="Z6" s="249"/>
      <c r="AA6" s="78"/>
      <c r="AB6" s="62"/>
    </row>
    <row r="7" spans="1:40" s="233" customFormat="1" ht="12.95" customHeight="1">
      <c r="A7" s="64"/>
      <c r="B7" s="294"/>
      <c r="C7" s="294"/>
      <c r="D7" s="294"/>
      <c r="E7" s="295"/>
      <c r="F7" s="191"/>
      <c r="G7" s="290"/>
      <c r="H7" s="289"/>
      <c r="I7" s="283"/>
      <c r="J7" s="290"/>
      <c r="K7" s="290"/>
      <c r="L7" s="290"/>
      <c r="M7" s="290"/>
      <c r="N7" s="290"/>
      <c r="O7" s="293"/>
      <c r="P7" s="290"/>
      <c r="Q7" s="294"/>
      <c r="R7" s="294"/>
      <c r="S7" s="294"/>
      <c r="T7" s="296">
        <v>5</v>
      </c>
      <c r="U7" s="296">
        <v>4</v>
      </c>
      <c r="V7" s="296">
        <v>3</v>
      </c>
      <c r="W7" s="296">
        <v>2</v>
      </c>
      <c r="X7" s="296">
        <v>1</v>
      </c>
      <c r="Y7" s="294"/>
      <c r="Z7" s="249"/>
      <c r="AA7" s="78"/>
      <c r="AB7" s="62"/>
    </row>
    <row r="8" spans="1:40" ht="12.95" customHeight="1">
      <c r="A8" s="58">
        <v>269</v>
      </c>
      <c r="B8" s="90">
        <v>43941</v>
      </c>
      <c r="C8" s="92" t="s">
        <v>120</v>
      </c>
      <c r="D8" s="92" t="s">
        <v>140</v>
      </c>
      <c r="E8" s="93" t="s">
        <v>340</v>
      </c>
      <c r="F8" s="297" t="s">
        <v>337</v>
      </c>
      <c r="G8" s="116">
        <f>ROUND(68.2*A8/1000,0)</f>
        <v>18</v>
      </c>
      <c r="H8" s="298" t="s">
        <v>341</v>
      </c>
      <c r="I8" s="116" t="s">
        <v>342</v>
      </c>
      <c r="J8" s="96">
        <v>5.5</v>
      </c>
      <c r="K8" s="96">
        <v>2.5</v>
      </c>
      <c r="L8" s="96">
        <v>0</v>
      </c>
      <c r="M8" s="96">
        <v>1.1000000000000001</v>
      </c>
      <c r="N8" s="96">
        <v>0</v>
      </c>
      <c r="O8" s="96">
        <v>2.5</v>
      </c>
      <c r="P8" s="96">
        <f>J8*70+K8*75+M8*25+O8*45+L8*120</f>
        <v>712.5</v>
      </c>
      <c r="Q8" s="73"/>
      <c r="R8" s="92"/>
      <c r="S8" s="92"/>
      <c r="T8" s="92"/>
      <c r="U8" s="92"/>
      <c r="V8" s="92"/>
      <c r="W8" s="92"/>
      <c r="X8" s="92"/>
      <c r="Y8" s="92" t="s">
        <v>336</v>
      </c>
      <c r="Z8" s="71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</row>
    <row r="9" spans="1:40" ht="12.95" customHeight="1">
      <c r="B9" s="99"/>
      <c r="C9" s="101"/>
      <c r="D9" s="101"/>
      <c r="E9" s="81"/>
      <c r="F9" s="53" t="s">
        <v>339</v>
      </c>
      <c r="G9" s="120">
        <v>6</v>
      </c>
      <c r="H9" s="299"/>
      <c r="I9" s="300"/>
      <c r="J9" s="105"/>
      <c r="K9" s="105"/>
      <c r="L9" s="105"/>
      <c r="M9" s="105"/>
      <c r="N9" s="105"/>
      <c r="O9" s="105"/>
      <c r="P9" s="105"/>
      <c r="Q9" s="79"/>
      <c r="R9" s="101"/>
      <c r="S9" s="101"/>
      <c r="T9" s="101"/>
      <c r="U9" s="101"/>
      <c r="V9" s="101"/>
      <c r="W9" s="101"/>
      <c r="X9" s="101"/>
      <c r="Y9" s="101"/>
      <c r="Z9" s="71"/>
      <c r="AA9" s="107"/>
      <c r="AB9" s="107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.95" customHeight="1">
      <c r="B10" s="99"/>
      <c r="C10" s="101"/>
      <c r="D10" s="101"/>
      <c r="E10" s="87"/>
      <c r="F10" s="51" t="s">
        <v>343</v>
      </c>
      <c r="G10" s="122">
        <f>ROUND(0.8*A8/1000,1)</f>
        <v>0.2</v>
      </c>
      <c r="H10" s="301"/>
      <c r="I10" s="190"/>
      <c r="J10" s="105"/>
      <c r="K10" s="105"/>
      <c r="L10" s="105"/>
      <c r="M10" s="105"/>
      <c r="N10" s="105"/>
      <c r="O10" s="105"/>
      <c r="P10" s="105"/>
      <c r="Q10" s="86"/>
      <c r="R10" s="133"/>
      <c r="S10" s="133"/>
      <c r="T10" s="133"/>
      <c r="U10" s="133"/>
      <c r="V10" s="133"/>
      <c r="W10" s="133"/>
      <c r="X10" s="133"/>
      <c r="Y10" s="101"/>
      <c r="Z10" s="71"/>
      <c r="AA10" s="106"/>
      <c r="AB10" s="250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</row>
    <row r="11" spans="1:40" ht="12.95" customHeight="1">
      <c r="B11" s="99"/>
      <c r="C11" s="101"/>
      <c r="D11" s="101"/>
      <c r="E11" s="93" t="s">
        <v>392</v>
      </c>
      <c r="F11" s="302" t="s">
        <v>421</v>
      </c>
      <c r="G11" s="173" t="s">
        <v>424</v>
      </c>
      <c r="H11" s="113" t="s">
        <v>422</v>
      </c>
      <c r="I11" s="303"/>
      <c r="J11" s="105"/>
      <c r="K11" s="105"/>
      <c r="L11" s="105"/>
      <c r="M11" s="105"/>
      <c r="N11" s="105"/>
      <c r="O11" s="105"/>
      <c r="P11" s="105"/>
      <c r="Q11" s="92"/>
      <c r="R11" s="92"/>
      <c r="S11" s="92"/>
      <c r="T11" s="92"/>
      <c r="U11" s="92"/>
      <c r="V11" s="92"/>
      <c r="W11" s="92"/>
      <c r="X11" s="92"/>
      <c r="Y11" s="101"/>
      <c r="AA11" s="106"/>
      <c r="AB11" s="107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40" ht="12.95" customHeight="1">
      <c r="B12" s="99"/>
      <c r="C12" s="101"/>
      <c r="D12" s="101"/>
      <c r="E12" s="81"/>
      <c r="F12" s="148" t="s">
        <v>393</v>
      </c>
      <c r="G12" s="121" t="s">
        <v>420</v>
      </c>
      <c r="H12" s="115" t="s">
        <v>423</v>
      </c>
      <c r="I12" s="120"/>
      <c r="J12" s="105"/>
      <c r="K12" s="105"/>
      <c r="L12" s="105"/>
      <c r="M12" s="105"/>
      <c r="N12" s="105"/>
      <c r="O12" s="105"/>
      <c r="P12" s="105"/>
      <c r="Q12" s="101"/>
      <c r="R12" s="101"/>
      <c r="S12" s="101"/>
      <c r="T12" s="101"/>
      <c r="U12" s="101"/>
      <c r="V12" s="101"/>
      <c r="W12" s="101"/>
      <c r="X12" s="101"/>
      <c r="Y12" s="101"/>
      <c r="AA12" s="106"/>
      <c r="AB12" s="107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</row>
    <row r="13" spans="1:40" ht="12.95" customHeight="1">
      <c r="B13" s="99"/>
      <c r="C13" s="101"/>
      <c r="D13" s="101"/>
      <c r="E13" s="87"/>
      <c r="F13" s="148"/>
      <c r="G13" s="114"/>
      <c r="H13" s="304"/>
      <c r="I13" s="122"/>
      <c r="J13" s="105"/>
      <c r="K13" s="105"/>
      <c r="L13" s="105"/>
      <c r="M13" s="105"/>
      <c r="N13" s="105"/>
      <c r="O13" s="105"/>
      <c r="P13" s="105"/>
      <c r="Q13" s="133"/>
      <c r="R13" s="133"/>
      <c r="S13" s="133"/>
      <c r="T13" s="133"/>
      <c r="U13" s="133"/>
      <c r="V13" s="133"/>
      <c r="W13" s="133"/>
      <c r="X13" s="133"/>
      <c r="Y13" s="101"/>
      <c r="AA13" s="106"/>
      <c r="AB13" s="107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</row>
    <row r="14" spans="1:40" ht="12.95" customHeight="1">
      <c r="B14" s="99"/>
      <c r="C14" s="101"/>
      <c r="D14" s="101"/>
      <c r="E14" s="93" t="s">
        <v>246</v>
      </c>
      <c r="F14" s="305" t="s">
        <v>247</v>
      </c>
      <c r="G14" s="124">
        <f>80*A8/1000</f>
        <v>21.52</v>
      </c>
      <c r="H14" s="297"/>
      <c r="I14" s="120"/>
      <c r="J14" s="105"/>
      <c r="K14" s="105"/>
      <c r="L14" s="105"/>
      <c r="M14" s="105"/>
      <c r="N14" s="105"/>
      <c r="O14" s="105"/>
      <c r="P14" s="105"/>
      <c r="Q14" s="92"/>
      <c r="R14" s="92"/>
      <c r="S14" s="92"/>
      <c r="T14" s="92"/>
      <c r="U14" s="92"/>
      <c r="V14" s="92"/>
      <c r="W14" s="92"/>
      <c r="X14" s="92"/>
      <c r="Y14" s="101"/>
      <c r="AA14" s="107"/>
      <c r="AB14" s="107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</row>
    <row r="15" spans="1:40" ht="12.95" customHeight="1">
      <c r="B15" s="99"/>
      <c r="C15" s="101"/>
      <c r="D15" s="101"/>
      <c r="E15" s="102"/>
      <c r="F15" s="148" t="s">
        <v>250</v>
      </c>
      <c r="G15" s="114">
        <v>3</v>
      </c>
      <c r="H15" s="53"/>
      <c r="I15" s="120"/>
      <c r="J15" s="105"/>
      <c r="K15" s="105"/>
      <c r="L15" s="105"/>
      <c r="M15" s="105"/>
      <c r="N15" s="105"/>
      <c r="O15" s="105"/>
      <c r="P15" s="105"/>
      <c r="Q15" s="101"/>
      <c r="R15" s="101"/>
      <c r="S15" s="101"/>
      <c r="T15" s="101"/>
      <c r="U15" s="101"/>
      <c r="V15" s="101"/>
      <c r="W15" s="101"/>
      <c r="X15" s="101"/>
      <c r="Y15" s="101"/>
      <c r="AA15" s="107"/>
      <c r="AB15" s="107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</row>
    <row r="16" spans="1:40" ht="12.95" customHeight="1">
      <c r="B16" s="99"/>
      <c r="C16" s="101"/>
      <c r="D16" s="101"/>
      <c r="E16" s="108"/>
      <c r="F16" s="51"/>
      <c r="G16" s="122"/>
      <c r="H16" s="51"/>
      <c r="I16" s="122"/>
      <c r="J16" s="105"/>
      <c r="K16" s="105"/>
      <c r="L16" s="105"/>
      <c r="M16" s="105"/>
      <c r="N16" s="105"/>
      <c r="O16" s="105"/>
      <c r="P16" s="105"/>
      <c r="Q16" s="133"/>
      <c r="R16" s="133"/>
      <c r="S16" s="133"/>
      <c r="T16" s="133"/>
      <c r="U16" s="133"/>
      <c r="V16" s="133"/>
      <c r="W16" s="133"/>
      <c r="X16" s="133"/>
      <c r="Y16" s="101"/>
      <c r="AA16" s="106"/>
      <c r="AB16" s="107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</row>
    <row r="17" spans="1:40" ht="12.95" customHeight="1">
      <c r="B17" s="99"/>
      <c r="C17" s="101"/>
      <c r="D17" s="101"/>
      <c r="E17" s="93" t="s">
        <v>272</v>
      </c>
      <c r="F17" s="306" t="s">
        <v>273</v>
      </c>
      <c r="G17" s="159">
        <f>ROUND(9*A8/1000,0)</f>
        <v>2</v>
      </c>
      <c r="H17" s="307" t="s">
        <v>274</v>
      </c>
      <c r="I17" s="124">
        <f>ROUND(5*A8/1000,1)</f>
        <v>1.3</v>
      </c>
      <c r="J17" s="105"/>
      <c r="K17" s="105"/>
      <c r="L17" s="105"/>
      <c r="M17" s="105"/>
      <c r="N17" s="105"/>
      <c r="O17" s="105"/>
      <c r="P17" s="105"/>
      <c r="Q17" s="92"/>
      <c r="R17" s="92"/>
      <c r="S17" s="92"/>
      <c r="T17" s="92"/>
      <c r="U17" s="92"/>
      <c r="V17" s="92"/>
      <c r="W17" s="92"/>
      <c r="X17" s="92"/>
      <c r="Y17" s="101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</row>
    <row r="18" spans="1:40" ht="12.95" customHeight="1">
      <c r="B18" s="99"/>
      <c r="C18" s="101"/>
      <c r="D18" s="101"/>
      <c r="E18" s="102"/>
      <c r="F18" s="308" t="s">
        <v>275</v>
      </c>
      <c r="G18" s="114">
        <f>ROUND(10*A8/1000,0)</f>
        <v>3</v>
      </c>
      <c r="H18" s="309" t="s">
        <v>271</v>
      </c>
      <c r="I18" s="212">
        <f>17.9*A8/1000</f>
        <v>4.8150999999999993</v>
      </c>
      <c r="J18" s="105"/>
      <c r="K18" s="105"/>
      <c r="L18" s="105"/>
      <c r="M18" s="105"/>
      <c r="N18" s="105"/>
      <c r="O18" s="105"/>
      <c r="P18" s="310"/>
      <c r="Q18" s="101"/>
      <c r="R18" s="101"/>
      <c r="S18" s="101"/>
      <c r="T18" s="101"/>
      <c r="U18" s="101"/>
      <c r="V18" s="101"/>
      <c r="W18" s="101"/>
      <c r="X18" s="101"/>
      <c r="Y18" s="101"/>
      <c r="AA18" s="106"/>
      <c r="AB18" s="107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</row>
    <row r="19" spans="1:40" ht="12.95" customHeight="1">
      <c r="B19" s="132"/>
      <c r="C19" s="133"/>
      <c r="D19" s="133"/>
      <c r="E19" s="108"/>
      <c r="F19" s="311" t="s">
        <v>276</v>
      </c>
      <c r="G19" s="121">
        <f>ROUND(5*A8/1000,1)</f>
        <v>1.3</v>
      </c>
      <c r="H19" s="312"/>
      <c r="I19" s="135"/>
      <c r="J19" s="137"/>
      <c r="K19" s="137"/>
      <c r="L19" s="137"/>
      <c r="M19" s="137"/>
      <c r="N19" s="137"/>
      <c r="O19" s="137"/>
      <c r="P19" s="313"/>
      <c r="Q19" s="133"/>
      <c r="R19" s="133"/>
      <c r="S19" s="133"/>
      <c r="T19" s="133"/>
      <c r="U19" s="133"/>
      <c r="V19" s="133"/>
      <c r="W19" s="133"/>
      <c r="X19" s="133"/>
      <c r="Y19" s="133"/>
      <c r="AA19" s="106"/>
      <c r="AB19" s="107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</row>
    <row r="20" spans="1:40" s="145" customFormat="1" ht="12.75" customHeight="1">
      <c r="A20" s="138"/>
      <c r="B20" s="314" t="s">
        <v>122</v>
      </c>
      <c r="C20" s="315"/>
      <c r="D20" s="316"/>
      <c r="E20" s="317" t="s">
        <v>379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AA20" s="146"/>
      <c r="AB20" s="62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</row>
    <row r="21" spans="1:40" ht="12.95" customHeight="1">
      <c r="A21" s="147">
        <v>269</v>
      </c>
      <c r="B21" s="90">
        <v>43942</v>
      </c>
      <c r="C21" s="92" t="s">
        <v>123</v>
      </c>
      <c r="D21" s="92" t="s">
        <v>140</v>
      </c>
      <c r="E21" s="93" t="s">
        <v>416</v>
      </c>
      <c r="F21" s="135" t="s">
        <v>417</v>
      </c>
      <c r="G21" s="114">
        <f>ROUND(63*A21/1000,0)</f>
        <v>17</v>
      </c>
      <c r="H21" s="135" t="s">
        <v>418</v>
      </c>
      <c r="I21" s="114">
        <f>ROUND(5*A21/1000,0)</f>
        <v>1</v>
      </c>
      <c r="J21" s="96">
        <v>5.2</v>
      </c>
      <c r="K21" s="96">
        <v>2.2000000000000002</v>
      </c>
      <c r="L21" s="96">
        <v>0</v>
      </c>
      <c r="M21" s="96">
        <v>2.2000000000000002</v>
      </c>
      <c r="N21" s="96">
        <v>0</v>
      </c>
      <c r="O21" s="96">
        <v>2.5</v>
      </c>
      <c r="P21" s="96">
        <f>SUM(J21*70+K21*75+L21*120+M21*25+N21*60+O21*45)</f>
        <v>696.5</v>
      </c>
      <c r="Q21" s="92" t="s">
        <v>89</v>
      </c>
      <c r="R21" s="92" t="s">
        <v>89</v>
      </c>
      <c r="S21" s="92" t="s">
        <v>89</v>
      </c>
      <c r="T21" s="92" t="s">
        <v>89</v>
      </c>
      <c r="U21" s="92" t="s">
        <v>89</v>
      </c>
      <c r="V21" s="92" t="s">
        <v>89</v>
      </c>
      <c r="W21" s="92" t="s">
        <v>89</v>
      </c>
      <c r="X21" s="92" t="s">
        <v>89</v>
      </c>
      <c r="Y21" s="92"/>
      <c r="AA21" s="106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</row>
    <row r="22" spans="1:40" ht="12.95" customHeight="1">
      <c r="A22" s="150"/>
      <c r="B22" s="99"/>
      <c r="C22" s="101"/>
      <c r="D22" s="101"/>
      <c r="E22" s="102"/>
      <c r="F22" s="135" t="s">
        <v>271</v>
      </c>
      <c r="G22" s="121">
        <v>6</v>
      </c>
      <c r="H22" s="309" t="s">
        <v>426</v>
      </c>
      <c r="I22" s="114"/>
      <c r="J22" s="105"/>
      <c r="K22" s="105"/>
      <c r="L22" s="105"/>
      <c r="M22" s="105"/>
      <c r="N22" s="105"/>
      <c r="O22" s="105"/>
      <c r="P22" s="105"/>
      <c r="Q22" s="101"/>
      <c r="R22" s="101"/>
      <c r="S22" s="101"/>
      <c r="T22" s="101"/>
      <c r="U22" s="101"/>
      <c r="V22" s="101"/>
      <c r="W22" s="101"/>
      <c r="X22" s="101"/>
      <c r="Y22" s="100"/>
      <c r="AA22" s="106"/>
      <c r="AB22" s="107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</row>
    <row r="23" spans="1:40" ht="12.95" customHeight="1">
      <c r="A23" s="150"/>
      <c r="B23" s="99"/>
      <c r="C23" s="101"/>
      <c r="D23" s="101"/>
      <c r="E23" s="108"/>
      <c r="F23" s="320" t="s">
        <v>419</v>
      </c>
      <c r="G23" s="214">
        <f>10*A21/1000</f>
        <v>2.69</v>
      </c>
      <c r="H23" s="162"/>
      <c r="I23" s="252"/>
      <c r="J23" s="105"/>
      <c r="K23" s="105"/>
      <c r="L23" s="105"/>
      <c r="M23" s="105"/>
      <c r="N23" s="105"/>
      <c r="O23" s="105"/>
      <c r="P23" s="105"/>
      <c r="Q23" s="133"/>
      <c r="R23" s="133"/>
      <c r="S23" s="133"/>
      <c r="T23" s="133"/>
      <c r="U23" s="133"/>
      <c r="V23" s="133"/>
      <c r="W23" s="133"/>
      <c r="X23" s="133"/>
      <c r="Y23" s="100"/>
      <c r="AA23" s="106"/>
      <c r="AB23" s="107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</row>
    <row r="24" spans="1:40" ht="12.95" customHeight="1">
      <c r="A24" s="150"/>
      <c r="B24" s="99"/>
      <c r="C24" s="101"/>
      <c r="D24" s="101"/>
      <c r="E24" s="93" t="s">
        <v>163</v>
      </c>
      <c r="F24" s="308" t="s">
        <v>164</v>
      </c>
      <c r="G24" s="121">
        <f>ROUND(50*A21/1000,0)</f>
        <v>13</v>
      </c>
      <c r="H24" s="148"/>
      <c r="I24" s="303"/>
      <c r="J24" s="105"/>
      <c r="K24" s="105"/>
      <c r="L24" s="105"/>
      <c r="M24" s="105"/>
      <c r="N24" s="105"/>
      <c r="O24" s="105"/>
      <c r="P24" s="105"/>
      <c r="Q24" s="92"/>
      <c r="R24" s="92"/>
      <c r="S24" s="92"/>
      <c r="T24" s="92"/>
      <c r="U24" s="92"/>
      <c r="V24" s="92"/>
      <c r="W24" s="92"/>
      <c r="X24" s="92"/>
      <c r="Y24" s="100"/>
      <c r="AA24" s="106"/>
      <c r="AB24" s="107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</row>
    <row r="25" spans="1:40" ht="12.95" customHeight="1">
      <c r="A25" s="150"/>
      <c r="B25" s="99"/>
      <c r="C25" s="101"/>
      <c r="D25" s="101"/>
      <c r="E25" s="81"/>
      <c r="F25" s="308" t="s">
        <v>165</v>
      </c>
      <c r="G25" s="121">
        <f>ROUND(10*A21/1000,0)</f>
        <v>3</v>
      </c>
      <c r="H25" s="321"/>
      <c r="I25" s="120"/>
      <c r="J25" s="105"/>
      <c r="K25" s="105"/>
      <c r="L25" s="105"/>
      <c r="M25" s="105"/>
      <c r="N25" s="105"/>
      <c r="O25" s="105"/>
      <c r="P25" s="105"/>
      <c r="Q25" s="101"/>
      <c r="R25" s="101"/>
      <c r="S25" s="101"/>
      <c r="T25" s="101"/>
      <c r="U25" s="101"/>
      <c r="V25" s="101"/>
      <c r="W25" s="101"/>
      <c r="X25" s="101"/>
      <c r="Y25" s="100"/>
      <c r="AA25" s="106"/>
      <c r="AB25" s="107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</row>
    <row r="26" spans="1:40" ht="12.95" customHeight="1">
      <c r="A26" s="150"/>
      <c r="B26" s="99"/>
      <c r="C26" s="101"/>
      <c r="D26" s="101"/>
      <c r="E26" s="87"/>
      <c r="F26" s="148" t="s">
        <v>149</v>
      </c>
      <c r="G26" s="121">
        <f>ROUND(5*A21/1000,1)</f>
        <v>1.3</v>
      </c>
      <c r="H26" s="304"/>
      <c r="I26" s="122"/>
      <c r="J26" s="105"/>
      <c r="K26" s="105"/>
      <c r="L26" s="105"/>
      <c r="M26" s="105"/>
      <c r="N26" s="105"/>
      <c r="O26" s="105"/>
      <c r="P26" s="105"/>
      <c r="Q26" s="133"/>
      <c r="R26" s="133"/>
      <c r="S26" s="133"/>
      <c r="T26" s="133"/>
      <c r="U26" s="133"/>
      <c r="V26" s="133"/>
      <c r="W26" s="133"/>
      <c r="X26" s="133"/>
      <c r="Y26" s="100"/>
      <c r="AA26" s="107"/>
      <c r="AB26" s="107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</row>
    <row r="27" spans="1:40" ht="12.95" customHeight="1">
      <c r="A27" s="150"/>
      <c r="B27" s="99"/>
      <c r="C27" s="101"/>
      <c r="D27" s="101"/>
      <c r="E27" s="93" t="s">
        <v>246</v>
      </c>
      <c r="F27" s="305" t="s">
        <v>133</v>
      </c>
      <c r="G27" s="124">
        <v>22</v>
      </c>
      <c r="H27" s="50"/>
      <c r="I27" s="157"/>
      <c r="J27" s="105"/>
      <c r="K27" s="105"/>
      <c r="L27" s="105"/>
      <c r="M27" s="105"/>
      <c r="N27" s="105"/>
      <c r="O27" s="105"/>
      <c r="P27" s="105"/>
      <c r="Q27" s="92" t="s">
        <v>89</v>
      </c>
      <c r="R27" s="92" t="s">
        <v>89</v>
      </c>
      <c r="S27" s="92" t="s">
        <v>89</v>
      </c>
      <c r="T27" s="92" t="s">
        <v>89</v>
      </c>
      <c r="U27" s="92" t="s">
        <v>89</v>
      </c>
      <c r="V27" s="92" t="s">
        <v>89</v>
      </c>
      <c r="W27" s="92" t="s">
        <v>89</v>
      </c>
      <c r="X27" s="92" t="s">
        <v>89</v>
      </c>
      <c r="Y27" s="100"/>
      <c r="AA27" s="107"/>
      <c r="AB27" s="107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</row>
    <row r="28" spans="1:40" ht="12.95" customHeight="1">
      <c r="A28" s="150"/>
      <c r="B28" s="99"/>
      <c r="C28" s="101"/>
      <c r="D28" s="101"/>
      <c r="E28" s="102"/>
      <c r="F28" s="148" t="s">
        <v>121</v>
      </c>
      <c r="G28" s="135" t="s">
        <v>249</v>
      </c>
      <c r="H28" s="322"/>
      <c r="I28" s="131"/>
      <c r="J28" s="105"/>
      <c r="K28" s="105"/>
      <c r="L28" s="105"/>
      <c r="M28" s="105"/>
      <c r="N28" s="105"/>
      <c r="O28" s="105"/>
      <c r="P28" s="105"/>
      <c r="Q28" s="101"/>
      <c r="R28" s="101"/>
      <c r="S28" s="101"/>
      <c r="T28" s="101"/>
      <c r="U28" s="101"/>
      <c r="V28" s="101"/>
      <c r="W28" s="101"/>
      <c r="X28" s="101"/>
      <c r="Y28" s="100"/>
      <c r="AA28" s="107"/>
      <c r="AB28" s="107"/>
      <c r="AC28" s="265"/>
      <c r="AJ28" s="233"/>
      <c r="AK28" s="233"/>
      <c r="AL28" s="233"/>
      <c r="AM28" s="233"/>
      <c r="AN28" s="233"/>
    </row>
    <row r="29" spans="1:40" ht="12.95" customHeight="1">
      <c r="A29" s="150"/>
      <c r="B29" s="99"/>
      <c r="C29" s="101"/>
      <c r="D29" s="101"/>
      <c r="E29" s="108"/>
      <c r="F29" s="51"/>
      <c r="G29" s="122"/>
      <c r="H29" s="323"/>
      <c r="I29" s="136"/>
      <c r="J29" s="105"/>
      <c r="K29" s="105"/>
      <c r="L29" s="105"/>
      <c r="M29" s="105"/>
      <c r="N29" s="105"/>
      <c r="O29" s="105"/>
      <c r="P29" s="105"/>
      <c r="Q29" s="133"/>
      <c r="R29" s="133"/>
      <c r="S29" s="133"/>
      <c r="T29" s="133"/>
      <c r="U29" s="133"/>
      <c r="V29" s="133"/>
      <c r="W29" s="133"/>
      <c r="X29" s="133"/>
      <c r="Y29" s="100"/>
      <c r="AA29" s="106"/>
      <c r="AB29" s="107"/>
      <c r="AC29" s="265"/>
      <c r="AJ29" s="233"/>
      <c r="AK29" s="233"/>
      <c r="AL29" s="233"/>
      <c r="AM29" s="233"/>
      <c r="AN29" s="233"/>
    </row>
    <row r="30" spans="1:40" ht="12.95" customHeight="1">
      <c r="A30" s="150"/>
      <c r="B30" s="99"/>
      <c r="C30" s="101"/>
      <c r="D30" s="101"/>
      <c r="E30" s="93" t="s">
        <v>134</v>
      </c>
      <c r="F30" s="297" t="s">
        <v>135</v>
      </c>
      <c r="G30" s="116">
        <v>6</v>
      </c>
      <c r="H30" s="324" t="s">
        <v>251</v>
      </c>
      <c r="I30" s="116">
        <f>ROUND(6.7*A21/1000,0)</f>
        <v>2</v>
      </c>
      <c r="J30" s="105"/>
      <c r="K30" s="105"/>
      <c r="L30" s="105"/>
      <c r="M30" s="105"/>
      <c r="N30" s="105"/>
      <c r="O30" s="105"/>
      <c r="P30" s="105"/>
      <c r="Q30" s="92" t="s">
        <v>89</v>
      </c>
      <c r="R30" s="92" t="s">
        <v>89</v>
      </c>
      <c r="S30" s="92" t="s">
        <v>89</v>
      </c>
      <c r="T30" s="92" t="s">
        <v>89</v>
      </c>
      <c r="U30" s="92" t="s">
        <v>89</v>
      </c>
      <c r="V30" s="92" t="s">
        <v>89</v>
      </c>
      <c r="W30" s="92" t="s">
        <v>89</v>
      </c>
      <c r="X30" s="92" t="s">
        <v>89</v>
      </c>
      <c r="Y30" s="100"/>
      <c r="AC30" s="265"/>
      <c r="AJ30" s="233"/>
      <c r="AK30" s="233"/>
      <c r="AL30" s="233"/>
      <c r="AM30" s="233"/>
      <c r="AN30" s="233"/>
    </row>
    <row r="31" spans="1:40" ht="12.95" customHeight="1">
      <c r="A31" s="150"/>
      <c r="B31" s="99"/>
      <c r="C31" s="101"/>
      <c r="D31" s="101"/>
      <c r="E31" s="102"/>
      <c r="F31" s="53" t="s">
        <v>136</v>
      </c>
      <c r="G31" s="255" t="s">
        <v>394</v>
      </c>
      <c r="H31" s="324" t="s">
        <v>137</v>
      </c>
      <c r="I31" s="325" t="s">
        <v>252</v>
      </c>
      <c r="J31" s="105"/>
      <c r="K31" s="105"/>
      <c r="L31" s="105"/>
      <c r="M31" s="105"/>
      <c r="N31" s="105"/>
      <c r="O31" s="105"/>
      <c r="P31" s="105"/>
      <c r="Q31" s="101"/>
      <c r="R31" s="101"/>
      <c r="S31" s="101"/>
      <c r="T31" s="101"/>
      <c r="U31" s="101"/>
      <c r="V31" s="101"/>
      <c r="W31" s="101"/>
      <c r="X31" s="101"/>
      <c r="Y31" s="100"/>
      <c r="AA31" s="106"/>
      <c r="AB31" s="107"/>
      <c r="AC31" s="265"/>
      <c r="AJ31" s="233"/>
      <c r="AK31" s="233"/>
      <c r="AL31" s="233"/>
      <c r="AM31" s="233"/>
      <c r="AN31" s="233"/>
    </row>
    <row r="32" spans="1:40" ht="12.95" customHeight="1">
      <c r="A32" s="150"/>
      <c r="B32" s="132"/>
      <c r="C32" s="133"/>
      <c r="D32" s="133"/>
      <c r="E32" s="108"/>
      <c r="F32" s="51" t="s">
        <v>138</v>
      </c>
      <c r="G32" s="122">
        <f>ROUND(11*A21/1000,0)</f>
        <v>3</v>
      </c>
      <c r="H32" s="324"/>
      <c r="I32" s="325"/>
      <c r="J32" s="137"/>
      <c r="K32" s="137"/>
      <c r="L32" s="137"/>
      <c r="M32" s="137"/>
      <c r="N32" s="137"/>
      <c r="O32" s="137"/>
      <c r="P32" s="137"/>
      <c r="Q32" s="133"/>
      <c r="R32" s="133"/>
      <c r="S32" s="133"/>
      <c r="T32" s="133"/>
      <c r="U32" s="133"/>
      <c r="V32" s="133"/>
      <c r="W32" s="133"/>
      <c r="X32" s="133"/>
      <c r="Y32" s="112"/>
      <c r="AA32" s="106"/>
      <c r="AB32" s="107"/>
      <c r="AC32" s="265"/>
      <c r="AJ32" s="233"/>
      <c r="AK32" s="233"/>
      <c r="AL32" s="233"/>
      <c r="AM32" s="233"/>
      <c r="AN32" s="233"/>
    </row>
    <row r="33" spans="1:40" s="145" customFormat="1" ht="12.95" customHeight="1">
      <c r="A33" s="164"/>
      <c r="B33" s="314" t="s">
        <v>122</v>
      </c>
      <c r="C33" s="315"/>
      <c r="D33" s="316"/>
      <c r="E33" s="317" t="s">
        <v>378</v>
      </c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9"/>
      <c r="AA33" s="169"/>
      <c r="AB33" s="107"/>
      <c r="AC33" s="265"/>
      <c r="AD33" s="58"/>
      <c r="AE33" s="58"/>
      <c r="AF33" s="58"/>
      <c r="AG33" s="58"/>
      <c r="AH33" s="58"/>
      <c r="AI33" s="58"/>
      <c r="AJ33" s="233"/>
      <c r="AK33" s="233"/>
      <c r="AL33" s="233"/>
      <c r="AM33" s="233"/>
      <c r="AN33" s="233"/>
    </row>
    <row r="34" spans="1:40" ht="12.95" customHeight="1">
      <c r="A34" s="147">
        <v>269</v>
      </c>
      <c r="B34" s="90">
        <v>43943</v>
      </c>
      <c r="C34" s="92" t="s">
        <v>124</v>
      </c>
      <c r="D34" s="92" t="s">
        <v>198</v>
      </c>
      <c r="E34" s="93" t="s">
        <v>395</v>
      </c>
      <c r="F34" s="297" t="s">
        <v>238</v>
      </c>
      <c r="G34" s="157">
        <f>ROUND(19.6*A34/1000,0)</f>
        <v>5</v>
      </c>
      <c r="H34" s="50" t="s">
        <v>239</v>
      </c>
      <c r="I34" s="157">
        <v>5</v>
      </c>
      <c r="J34" s="96">
        <v>4.5</v>
      </c>
      <c r="K34" s="96">
        <v>0.7</v>
      </c>
      <c r="L34" s="96">
        <v>0.4</v>
      </c>
      <c r="M34" s="96">
        <v>2.4</v>
      </c>
      <c r="N34" s="96">
        <v>1</v>
      </c>
      <c r="O34" s="96">
        <v>3</v>
      </c>
      <c r="P34" s="96">
        <f>K34*75+J34*70+L34*120+M34*25+N34*60+O34*45</f>
        <v>670.5</v>
      </c>
      <c r="Q34" s="92"/>
      <c r="R34" s="92"/>
      <c r="S34" s="92"/>
      <c r="T34" s="92"/>
      <c r="U34" s="92"/>
      <c r="V34" s="92"/>
      <c r="W34" s="92"/>
      <c r="X34" s="92"/>
      <c r="Y34" s="92"/>
      <c r="AA34" s="106"/>
      <c r="AB34" s="107"/>
      <c r="AC34" s="265"/>
      <c r="AJ34" s="233"/>
      <c r="AK34" s="233"/>
      <c r="AL34" s="233"/>
      <c r="AM34" s="233"/>
      <c r="AN34" s="233"/>
    </row>
    <row r="35" spans="1:40" ht="12.95" customHeight="1">
      <c r="A35" s="150"/>
      <c r="B35" s="99"/>
      <c r="C35" s="101"/>
      <c r="D35" s="101"/>
      <c r="E35" s="102"/>
      <c r="F35" s="53" t="s">
        <v>240</v>
      </c>
      <c r="G35" s="131">
        <f>ROUND(19.5*A34/1000,0)</f>
        <v>5</v>
      </c>
      <c r="H35" s="322" t="s">
        <v>396</v>
      </c>
      <c r="I35" s="131">
        <v>3</v>
      </c>
      <c r="J35" s="105"/>
      <c r="K35" s="105"/>
      <c r="L35" s="105"/>
      <c r="M35" s="105"/>
      <c r="N35" s="105"/>
      <c r="O35" s="105"/>
      <c r="P35" s="105"/>
      <c r="Q35" s="101"/>
      <c r="R35" s="101"/>
      <c r="S35" s="101"/>
      <c r="T35" s="101"/>
      <c r="U35" s="101"/>
      <c r="V35" s="101"/>
      <c r="W35" s="101"/>
      <c r="X35" s="101"/>
      <c r="Y35" s="101"/>
      <c r="AA35" s="106"/>
      <c r="AB35" s="107"/>
      <c r="AC35" s="265"/>
    </row>
    <row r="36" spans="1:40" ht="12.95" customHeight="1">
      <c r="A36" s="150"/>
      <c r="B36" s="99"/>
      <c r="C36" s="101"/>
      <c r="D36" s="101"/>
      <c r="E36" s="102"/>
      <c r="F36" s="53" t="s">
        <v>258</v>
      </c>
      <c r="G36" s="131">
        <f>ROUND(9.4*A34/1000,0)</f>
        <v>3</v>
      </c>
      <c r="H36" s="322" t="s">
        <v>397</v>
      </c>
      <c r="I36" s="131">
        <f>ROUND(9.4*A34/1000,0)</f>
        <v>3</v>
      </c>
      <c r="J36" s="105"/>
      <c r="K36" s="105"/>
      <c r="L36" s="105"/>
      <c r="M36" s="105"/>
      <c r="N36" s="105"/>
      <c r="O36" s="105"/>
      <c r="P36" s="105"/>
      <c r="Q36" s="101"/>
      <c r="R36" s="101"/>
      <c r="S36" s="101"/>
      <c r="T36" s="101"/>
      <c r="U36" s="101"/>
      <c r="V36" s="101"/>
      <c r="W36" s="101"/>
      <c r="X36" s="101"/>
      <c r="Y36" s="101"/>
      <c r="AA36" s="106"/>
      <c r="AB36" s="107"/>
      <c r="AC36" s="265"/>
    </row>
    <row r="37" spans="1:40" ht="12.95" customHeight="1">
      <c r="A37" s="150"/>
      <c r="B37" s="99"/>
      <c r="C37" s="101"/>
      <c r="D37" s="101"/>
      <c r="E37" s="93" t="s">
        <v>246</v>
      </c>
      <c r="F37" s="305" t="s">
        <v>133</v>
      </c>
      <c r="G37" s="124">
        <v>22</v>
      </c>
      <c r="H37" s="50"/>
      <c r="I37" s="157"/>
      <c r="J37" s="105"/>
      <c r="K37" s="105"/>
      <c r="L37" s="105"/>
      <c r="M37" s="105"/>
      <c r="N37" s="105"/>
      <c r="O37" s="105"/>
      <c r="P37" s="105"/>
      <c r="Q37" s="92"/>
      <c r="R37" s="92"/>
      <c r="S37" s="92"/>
      <c r="T37" s="92"/>
      <c r="U37" s="92"/>
      <c r="V37" s="92"/>
      <c r="W37" s="92"/>
      <c r="X37" s="92"/>
      <c r="Y37" s="101"/>
      <c r="AA37" s="106"/>
      <c r="AB37" s="107"/>
      <c r="AC37" s="265"/>
    </row>
    <row r="38" spans="1:40" ht="12.95" customHeight="1">
      <c r="A38" s="150"/>
      <c r="B38" s="99"/>
      <c r="C38" s="101"/>
      <c r="D38" s="101"/>
      <c r="E38" s="102"/>
      <c r="F38" s="148" t="s">
        <v>121</v>
      </c>
      <c r="G38" s="135" t="s">
        <v>249</v>
      </c>
      <c r="H38" s="322"/>
      <c r="I38" s="131"/>
      <c r="J38" s="105"/>
      <c r="K38" s="105"/>
      <c r="L38" s="105"/>
      <c r="M38" s="105"/>
      <c r="N38" s="105"/>
      <c r="O38" s="105"/>
      <c r="P38" s="105"/>
      <c r="Q38" s="101"/>
      <c r="R38" s="101"/>
      <c r="S38" s="101"/>
      <c r="T38" s="101"/>
      <c r="U38" s="101"/>
      <c r="V38" s="101"/>
      <c r="W38" s="101"/>
      <c r="X38" s="101"/>
      <c r="Y38" s="101"/>
      <c r="AA38" s="106"/>
      <c r="AB38" s="107"/>
      <c r="AC38" s="265"/>
    </row>
    <row r="39" spans="1:40" ht="12.95" customHeight="1">
      <c r="A39" s="150"/>
      <c r="B39" s="99"/>
      <c r="C39" s="101"/>
      <c r="D39" s="101"/>
      <c r="E39" s="108"/>
      <c r="F39" s="51"/>
      <c r="G39" s="122"/>
      <c r="H39" s="323"/>
      <c r="I39" s="136"/>
      <c r="J39" s="105"/>
      <c r="K39" s="105"/>
      <c r="L39" s="105"/>
      <c r="M39" s="105"/>
      <c r="N39" s="105"/>
      <c r="O39" s="105"/>
      <c r="P39" s="105"/>
      <c r="Q39" s="133"/>
      <c r="R39" s="133"/>
      <c r="S39" s="133"/>
      <c r="T39" s="133"/>
      <c r="U39" s="133"/>
      <c r="V39" s="133"/>
      <c r="W39" s="133"/>
      <c r="X39" s="133"/>
      <c r="Y39" s="101"/>
      <c r="AA39" s="106"/>
      <c r="AC39" s="265"/>
    </row>
    <row r="40" spans="1:40" ht="12.95" customHeight="1">
      <c r="A40" s="150"/>
      <c r="B40" s="99"/>
      <c r="C40" s="101"/>
      <c r="D40" s="101"/>
      <c r="E40" s="93" t="s">
        <v>411</v>
      </c>
      <c r="F40" s="50" t="s">
        <v>362</v>
      </c>
      <c r="G40" s="326">
        <f>ROUND(26.6*A34/1000,1)</f>
        <v>7.2</v>
      </c>
      <c r="H40" s="307" t="s">
        <v>398</v>
      </c>
      <c r="I40" s="157"/>
      <c r="J40" s="105"/>
      <c r="K40" s="105"/>
      <c r="L40" s="105"/>
      <c r="M40" s="105"/>
      <c r="N40" s="105"/>
      <c r="O40" s="105"/>
      <c r="P40" s="105"/>
      <c r="Q40" s="327"/>
      <c r="R40" s="327"/>
      <c r="S40" s="327"/>
      <c r="T40" s="327"/>
      <c r="U40" s="327"/>
      <c r="V40" s="327"/>
      <c r="W40" s="327"/>
      <c r="X40" s="327"/>
      <c r="Y40" s="101"/>
      <c r="AA40" s="106"/>
      <c r="AB40" s="107"/>
      <c r="AC40" s="265"/>
    </row>
    <row r="41" spans="1:40" ht="12.95" customHeight="1">
      <c r="A41" s="150"/>
      <c r="B41" s="99"/>
      <c r="C41" s="101"/>
      <c r="D41" s="101"/>
      <c r="E41" s="102"/>
      <c r="F41" s="322" t="s">
        <v>353</v>
      </c>
      <c r="G41" s="131">
        <v>0.1</v>
      </c>
      <c r="H41" s="322" t="s">
        <v>363</v>
      </c>
      <c r="I41" s="131">
        <f>ROUND(0.5*A34/1000,1)</f>
        <v>0.1</v>
      </c>
      <c r="J41" s="105"/>
      <c r="K41" s="105"/>
      <c r="L41" s="105"/>
      <c r="M41" s="105"/>
      <c r="N41" s="105"/>
      <c r="O41" s="105"/>
      <c r="P41" s="105"/>
      <c r="Q41" s="327"/>
      <c r="R41" s="327"/>
      <c r="S41" s="327"/>
      <c r="T41" s="327"/>
      <c r="U41" s="327"/>
      <c r="V41" s="327"/>
      <c r="W41" s="327"/>
      <c r="X41" s="327"/>
      <c r="Y41" s="101"/>
      <c r="AA41" s="106"/>
      <c r="AB41" s="107"/>
      <c r="AC41" s="265"/>
    </row>
    <row r="42" spans="1:40" ht="12.95" customHeight="1">
      <c r="A42" s="150"/>
      <c r="B42" s="99"/>
      <c r="C42" s="101"/>
      <c r="D42" s="101"/>
      <c r="E42" s="108"/>
      <c r="F42" s="323" t="s">
        <v>364</v>
      </c>
      <c r="G42" s="136" t="s">
        <v>365</v>
      </c>
      <c r="H42" s="323"/>
      <c r="I42" s="111"/>
      <c r="J42" s="105"/>
      <c r="K42" s="105"/>
      <c r="L42" s="105"/>
      <c r="M42" s="105"/>
      <c r="N42" s="105"/>
      <c r="O42" s="105"/>
      <c r="P42" s="105"/>
      <c r="Q42" s="327"/>
      <c r="R42" s="327"/>
      <c r="S42" s="327"/>
      <c r="T42" s="327"/>
      <c r="U42" s="327"/>
      <c r="V42" s="327"/>
      <c r="W42" s="327"/>
      <c r="X42" s="327"/>
      <c r="Y42" s="101"/>
      <c r="AA42" s="106"/>
      <c r="AB42" s="107"/>
      <c r="AC42" s="265"/>
    </row>
    <row r="43" spans="1:40" ht="12.95" customHeight="1">
      <c r="A43" s="150"/>
      <c r="B43" s="99"/>
      <c r="C43" s="101"/>
      <c r="D43" s="101"/>
      <c r="E43" s="93" t="s">
        <v>304</v>
      </c>
      <c r="F43" s="148" t="s">
        <v>305</v>
      </c>
      <c r="G43" s="182" t="s">
        <v>306</v>
      </c>
      <c r="H43" s="297"/>
      <c r="I43" s="328"/>
      <c r="J43" s="105"/>
      <c r="K43" s="105"/>
      <c r="L43" s="105"/>
      <c r="M43" s="105"/>
      <c r="N43" s="105"/>
      <c r="O43" s="105"/>
      <c r="P43" s="105"/>
      <c r="Q43" s="92"/>
      <c r="R43" s="92"/>
      <c r="S43" s="92"/>
      <c r="T43" s="92"/>
      <c r="U43" s="92"/>
      <c r="V43" s="92"/>
      <c r="W43" s="92"/>
      <c r="X43" s="92"/>
      <c r="Y43" s="101"/>
      <c r="AA43" s="107"/>
      <c r="AB43" s="107"/>
      <c r="AC43" s="265"/>
    </row>
    <row r="44" spans="1:40" ht="12.95" customHeight="1">
      <c r="A44" s="150"/>
      <c r="B44" s="99"/>
      <c r="C44" s="101"/>
      <c r="D44" s="101"/>
      <c r="E44" s="183"/>
      <c r="F44" s="329"/>
      <c r="G44" s="185"/>
      <c r="H44" s="53"/>
      <c r="I44" s="330"/>
      <c r="J44" s="105"/>
      <c r="K44" s="105"/>
      <c r="L44" s="105"/>
      <c r="M44" s="105"/>
      <c r="N44" s="105"/>
      <c r="O44" s="105"/>
      <c r="P44" s="105"/>
      <c r="Q44" s="101"/>
      <c r="R44" s="101"/>
      <c r="S44" s="101"/>
      <c r="T44" s="101"/>
      <c r="U44" s="101"/>
      <c r="V44" s="101"/>
      <c r="W44" s="101"/>
      <c r="X44" s="101"/>
      <c r="Y44" s="101"/>
      <c r="AA44" s="107"/>
      <c r="AB44" s="107"/>
      <c r="AC44" s="265"/>
    </row>
    <row r="45" spans="1:40" ht="12.95" customHeight="1">
      <c r="A45" s="164"/>
      <c r="B45" s="132"/>
      <c r="C45" s="133"/>
      <c r="D45" s="101"/>
      <c r="E45" s="186"/>
      <c r="F45" s="331"/>
      <c r="G45" s="162"/>
      <c r="H45" s="51"/>
      <c r="I45" s="332"/>
      <c r="J45" s="137"/>
      <c r="K45" s="137"/>
      <c r="L45" s="137"/>
      <c r="M45" s="137"/>
      <c r="N45" s="137"/>
      <c r="O45" s="137"/>
      <c r="P45" s="137"/>
      <c r="Q45" s="133"/>
      <c r="R45" s="133"/>
      <c r="S45" s="133"/>
      <c r="T45" s="133"/>
      <c r="U45" s="133"/>
      <c r="V45" s="133"/>
      <c r="W45" s="133"/>
      <c r="X45" s="133"/>
      <c r="Y45" s="133"/>
      <c r="AA45" s="107"/>
      <c r="AB45" s="107"/>
      <c r="AC45" s="265"/>
      <c r="AJ45" s="265"/>
      <c r="AK45" s="265"/>
      <c r="AL45" s="265"/>
      <c r="AM45" s="265"/>
      <c r="AN45" s="265"/>
    </row>
    <row r="46" spans="1:40" ht="12.95" customHeight="1">
      <c r="A46" s="147"/>
      <c r="B46" s="314" t="s">
        <v>122</v>
      </c>
      <c r="C46" s="315"/>
      <c r="D46" s="316"/>
      <c r="E46" s="274" t="s">
        <v>125</v>
      </c>
      <c r="F46" s="333"/>
      <c r="G46" s="333"/>
      <c r="H46" s="333"/>
      <c r="I46" s="333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6"/>
      <c r="AA46" s="188"/>
      <c r="AB46" s="107"/>
      <c r="AC46" s="265"/>
      <c r="AJ46" s="265"/>
      <c r="AK46" s="265"/>
      <c r="AL46" s="265"/>
      <c r="AM46" s="265"/>
      <c r="AN46" s="265"/>
    </row>
    <row r="47" spans="1:40" s="145" customFormat="1" ht="12.95" customHeight="1">
      <c r="A47" s="147">
        <v>269</v>
      </c>
      <c r="B47" s="90">
        <v>43944</v>
      </c>
      <c r="C47" s="92" t="s">
        <v>126</v>
      </c>
      <c r="D47" s="92" t="s">
        <v>140</v>
      </c>
      <c r="E47" s="170" t="s">
        <v>399</v>
      </c>
      <c r="F47" s="334" t="s">
        <v>199</v>
      </c>
      <c r="G47" s="116">
        <f>ROUND(53*A47/1000,0)</f>
        <v>14</v>
      </c>
      <c r="H47" s="297" t="s">
        <v>149</v>
      </c>
      <c r="I47" s="335">
        <f>ROUND(7*A47/1000,0)</f>
        <v>2</v>
      </c>
      <c r="J47" s="174">
        <v>5.6</v>
      </c>
      <c r="K47" s="96">
        <v>3</v>
      </c>
      <c r="L47" s="96">
        <v>0</v>
      </c>
      <c r="M47" s="96">
        <v>2.1</v>
      </c>
      <c r="N47" s="96">
        <v>0</v>
      </c>
      <c r="O47" s="96">
        <v>2.5</v>
      </c>
      <c r="P47" s="96">
        <f>SUM(J47*70+K47*75+L47*120+M47*25+N47*60+O47*45)</f>
        <v>782</v>
      </c>
      <c r="Q47" s="92"/>
      <c r="R47" s="92"/>
      <c r="S47" s="92"/>
      <c r="T47" s="92"/>
      <c r="U47" s="92"/>
      <c r="V47" s="92"/>
      <c r="W47" s="92"/>
      <c r="X47" s="92"/>
      <c r="Y47" s="91"/>
      <c r="AA47" s="58"/>
      <c r="AB47" s="58"/>
      <c r="AC47" s="58"/>
      <c r="AD47" s="58"/>
      <c r="AE47" s="58"/>
      <c r="AF47" s="58"/>
      <c r="AG47" s="58"/>
      <c r="AH47" s="58"/>
      <c r="AI47" s="58"/>
      <c r="AJ47" s="265"/>
      <c r="AK47" s="265"/>
      <c r="AL47" s="265"/>
      <c r="AM47" s="265"/>
      <c r="AN47" s="265"/>
    </row>
    <row r="48" spans="1:40" ht="12.95" customHeight="1">
      <c r="A48" s="150"/>
      <c r="B48" s="99"/>
      <c r="C48" s="101"/>
      <c r="D48" s="101"/>
      <c r="E48" s="175"/>
      <c r="F48" s="336" t="s">
        <v>182</v>
      </c>
      <c r="G48" s="120">
        <v>4</v>
      </c>
      <c r="H48" s="53" t="s">
        <v>152</v>
      </c>
      <c r="I48" s="337">
        <f>ROUND(0.7*A47/1000,1)</f>
        <v>0.2</v>
      </c>
      <c r="J48" s="178"/>
      <c r="K48" s="105"/>
      <c r="L48" s="105"/>
      <c r="M48" s="105"/>
      <c r="N48" s="105"/>
      <c r="O48" s="105"/>
      <c r="P48" s="105"/>
      <c r="Q48" s="101"/>
      <c r="R48" s="101"/>
      <c r="S48" s="101"/>
      <c r="T48" s="101"/>
      <c r="U48" s="101"/>
      <c r="V48" s="101"/>
      <c r="W48" s="101"/>
      <c r="X48" s="101"/>
      <c r="Y48" s="100"/>
      <c r="AA48" s="106"/>
      <c r="AB48" s="107"/>
      <c r="AJ48" s="265"/>
      <c r="AK48" s="265"/>
      <c r="AL48" s="265"/>
      <c r="AM48" s="265"/>
      <c r="AN48" s="265"/>
    </row>
    <row r="49" spans="1:40" ht="12.95" customHeight="1">
      <c r="A49" s="150"/>
      <c r="B49" s="99"/>
      <c r="C49" s="101"/>
      <c r="D49" s="101"/>
      <c r="E49" s="175"/>
      <c r="F49" s="336" t="s">
        <v>155</v>
      </c>
      <c r="G49" s="120">
        <v>1</v>
      </c>
      <c r="H49" s="53" t="s">
        <v>401</v>
      </c>
      <c r="I49" s="337" t="s">
        <v>402</v>
      </c>
      <c r="J49" s="178"/>
      <c r="K49" s="105"/>
      <c r="L49" s="105"/>
      <c r="M49" s="105"/>
      <c r="N49" s="105"/>
      <c r="O49" s="105"/>
      <c r="P49" s="105"/>
      <c r="Q49" s="101"/>
      <c r="R49" s="101"/>
      <c r="S49" s="101"/>
      <c r="T49" s="101"/>
      <c r="U49" s="101"/>
      <c r="V49" s="101"/>
      <c r="W49" s="101"/>
      <c r="X49" s="101"/>
      <c r="Y49" s="100"/>
      <c r="AA49" s="106"/>
      <c r="AB49" s="107"/>
      <c r="AJ49" s="265"/>
      <c r="AK49" s="265"/>
      <c r="AL49" s="265"/>
      <c r="AM49" s="265"/>
      <c r="AN49" s="265"/>
    </row>
    <row r="50" spans="1:40" ht="12.95" customHeight="1">
      <c r="A50" s="150"/>
      <c r="B50" s="99"/>
      <c r="C50" s="101"/>
      <c r="D50" s="101"/>
      <c r="E50" s="338"/>
      <c r="F50" s="339" t="s">
        <v>400</v>
      </c>
      <c r="G50" s="122">
        <v>5</v>
      </c>
      <c r="H50" s="51"/>
      <c r="I50" s="52"/>
      <c r="J50" s="178"/>
      <c r="K50" s="105"/>
      <c r="L50" s="105"/>
      <c r="M50" s="105"/>
      <c r="N50" s="105"/>
      <c r="O50" s="105"/>
      <c r="P50" s="105"/>
      <c r="Q50" s="133"/>
      <c r="R50" s="133"/>
      <c r="S50" s="133"/>
      <c r="T50" s="133"/>
      <c r="U50" s="133"/>
      <c r="V50" s="133"/>
      <c r="W50" s="133"/>
      <c r="X50" s="133"/>
      <c r="Y50" s="100"/>
      <c r="AA50" s="106"/>
      <c r="AB50" s="62"/>
      <c r="AJ50" s="265"/>
      <c r="AK50" s="265"/>
      <c r="AL50" s="265"/>
      <c r="AM50" s="265"/>
      <c r="AN50" s="265"/>
    </row>
    <row r="51" spans="1:40" ht="12.95" customHeight="1">
      <c r="A51" s="150"/>
      <c r="B51" s="99"/>
      <c r="C51" s="101"/>
      <c r="D51" s="101"/>
      <c r="E51" s="93" t="s">
        <v>234</v>
      </c>
      <c r="F51" s="309" t="s">
        <v>235</v>
      </c>
      <c r="G51" s="114">
        <f>ROUND(75*A47/1000,0)</f>
        <v>20</v>
      </c>
      <c r="H51" s="148"/>
      <c r="I51" s="260"/>
      <c r="J51" s="105"/>
      <c r="K51" s="105"/>
      <c r="L51" s="105"/>
      <c r="M51" s="105"/>
      <c r="N51" s="105"/>
      <c r="O51" s="105"/>
      <c r="P51" s="105"/>
      <c r="Q51" s="92"/>
      <c r="R51" s="92"/>
      <c r="S51" s="92"/>
      <c r="T51" s="92"/>
      <c r="U51" s="92"/>
      <c r="V51" s="92"/>
      <c r="W51" s="92"/>
      <c r="X51" s="92"/>
      <c r="Y51" s="100"/>
      <c r="AA51" s="117"/>
      <c r="AB51" s="107"/>
      <c r="AJ51" s="265"/>
      <c r="AK51" s="265"/>
      <c r="AL51" s="265"/>
      <c r="AM51" s="265"/>
      <c r="AN51" s="265"/>
    </row>
    <row r="52" spans="1:40" ht="12.95" customHeight="1">
      <c r="A52" s="150"/>
      <c r="B52" s="99"/>
      <c r="C52" s="101"/>
      <c r="D52" s="101"/>
      <c r="E52" s="81"/>
      <c r="F52" s="309" t="s">
        <v>236</v>
      </c>
      <c r="G52" s="114">
        <f>ROUND(10*A47/1000,0)</f>
        <v>3</v>
      </c>
      <c r="H52" s="321"/>
      <c r="I52" s="120"/>
      <c r="J52" s="105"/>
      <c r="K52" s="105"/>
      <c r="L52" s="105"/>
      <c r="M52" s="105"/>
      <c r="N52" s="105"/>
      <c r="O52" s="105"/>
      <c r="P52" s="105"/>
      <c r="Q52" s="101"/>
      <c r="R52" s="101"/>
      <c r="S52" s="101"/>
      <c r="T52" s="101"/>
      <c r="U52" s="101"/>
      <c r="V52" s="101"/>
      <c r="W52" s="101"/>
      <c r="X52" s="101"/>
      <c r="Y52" s="100"/>
      <c r="AA52" s="117"/>
      <c r="AB52" s="107"/>
      <c r="AJ52" s="265"/>
      <c r="AK52" s="265"/>
      <c r="AL52" s="265"/>
      <c r="AM52" s="265"/>
      <c r="AN52" s="265"/>
    </row>
    <row r="53" spans="1:40" ht="12.95" customHeight="1">
      <c r="A53" s="150"/>
      <c r="B53" s="99"/>
      <c r="C53" s="101"/>
      <c r="D53" s="101"/>
      <c r="E53" s="87"/>
      <c r="F53" s="340" t="s">
        <v>237</v>
      </c>
      <c r="G53" s="162">
        <f>ROUND(5*A47/1000,0)</f>
        <v>1</v>
      </c>
      <c r="H53" s="304"/>
      <c r="I53" s="122"/>
      <c r="J53" s="105"/>
      <c r="K53" s="105"/>
      <c r="L53" s="105"/>
      <c r="M53" s="105"/>
      <c r="N53" s="105"/>
      <c r="O53" s="105"/>
      <c r="P53" s="105"/>
      <c r="Q53" s="133"/>
      <c r="R53" s="133"/>
      <c r="S53" s="133"/>
      <c r="T53" s="133"/>
      <c r="U53" s="133"/>
      <c r="V53" s="133"/>
      <c r="W53" s="133"/>
      <c r="X53" s="133"/>
      <c r="Y53" s="100"/>
      <c r="AA53" s="117"/>
      <c r="AB53" s="107"/>
      <c r="AJ53" s="265"/>
      <c r="AK53" s="265"/>
      <c r="AL53" s="265"/>
      <c r="AM53" s="265"/>
      <c r="AN53" s="265"/>
    </row>
    <row r="54" spans="1:40" ht="12.95" customHeight="1">
      <c r="A54" s="150"/>
      <c r="B54" s="99"/>
      <c r="C54" s="101"/>
      <c r="D54" s="101"/>
      <c r="E54" s="93" t="s">
        <v>246</v>
      </c>
      <c r="F54" s="305" t="s">
        <v>133</v>
      </c>
      <c r="G54" s="124">
        <v>22</v>
      </c>
      <c r="H54" s="50"/>
      <c r="I54" s="157"/>
      <c r="J54" s="105"/>
      <c r="K54" s="105"/>
      <c r="L54" s="105"/>
      <c r="M54" s="105"/>
      <c r="N54" s="105"/>
      <c r="O54" s="105"/>
      <c r="P54" s="105"/>
      <c r="Q54" s="92"/>
      <c r="R54" s="92"/>
      <c r="S54" s="92"/>
      <c r="T54" s="92"/>
      <c r="U54" s="92"/>
      <c r="V54" s="92"/>
      <c r="W54" s="92"/>
      <c r="X54" s="92"/>
      <c r="Y54" s="100"/>
      <c r="AA54" s="106"/>
      <c r="AB54" s="107"/>
      <c r="AJ54" s="265"/>
      <c r="AK54" s="265"/>
      <c r="AL54" s="265"/>
      <c r="AM54" s="265"/>
      <c r="AN54" s="265"/>
    </row>
    <row r="55" spans="1:40" ht="12.95" customHeight="1">
      <c r="A55" s="150"/>
      <c r="B55" s="99"/>
      <c r="C55" s="101"/>
      <c r="D55" s="101"/>
      <c r="E55" s="102"/>
      <c r="F55" s="148" t="s">
        <v>121</v>
      </c>
      <c r="G55" s="135" t="s">
        <v>249</v>
      </c>
      <c r="H55" s="322"/>
      <c r="I55" s="131"/>
      <c r="J55" s="105"/>
      <c r="K55" s="105"/>
      <c r="L55" s="105"/>
      <c r="M55" s="105"/>
      <c r="N55" s="105"/>
      <c r="O55" s="105"/>
      <c r="P55" s="105"/>
      <c r="Q55" s="101"/>
      <c r="R55" s="101"/>
      <c r="S55" s="101"/>
      <c r="T55" s="101"/>
      <c r="U55" s="101"/>
      <c r="V55" s="101"/>
      <c r="W55" s="101"/>
      <c r="X55" s="101"/>
      <c r="Y55" s="100"/>
      <c r="AA55" s="106"/>
      <c r="AB55" s="107"/>
      <c r="AJ55" s="265"/>
      <c r="AK55" s="265"/>
      <c r="AL55" s="265"/>
      <c r="AM55" s="265"/>
      <c r="AN55" s="265"/>
    </row>
    <row r="56" spans="1:40" ht="12.95" customHeight="1">
      <c r="A56" s="150"/>
      <c r="B56" s="99"/>
      <c r="C56" s="101"/>
      <c r="D56" s="101"/>
      <c r="E56" s="108"/>
      <c r="F56" s="51"/>
      <c r="G56" s="122"/>
      <c r="H56" s="323"/>
      <c r="I56" s="136"/>
      <c r="J56" s="105"/>
      <c r="K56" s="105"/>
      <c r="L56" s="105"/>
      <c r="M56" s="105"/>
      <c r="N56" s="105"/>
      <c r="O56" s="105"/>
      <c r="P56" s="105"/>
      <c r="Q56" s="133"/>
      <c r="R56" s="133"/>
      <c r="S56" s="133"/>
      <c r="T56" s="133"/>
      <c r="U56" s="133"/>
      <c r="V56" s="133"/>
      <c r="W56" s="133"/>
      <c r="X56" s="133"/>
      <c r="Y56" s="100"/>
      <c r="AA56" s="106"/>
      <c r="AB56" s="107"/>
      <c r="AJ56" s="265"/>
      <c r="AK56" s="265"/>
      <c r="AL56" s="265"/>
      <c r="AM56" s="265"/>
      <c r="AN56" s="265"/>
    </row>
    <row r="57" spans="1:40" ht="12.95" customHeight="1">
      <c r="A57" s="150"/>
      <c r="B57" s="99"/>
      <c r="C57" s="101"/>
      <c r="D57" s="101"/>
      <c r="E57" s="93" t="s">
        <v>231</v>
      </c>
      <c r="F57" s="307" t="s">
        <v>232</v>
      </c>
      <c r="G57" s="124">
        <v>7</v>
      </c>
      <c r="H57" s="341"/>
      <c r="I57" s="219"/>
      <c r="J57" s="105"/>
      <c r="K57" s="105"/>
      <c r="L57" s="105"/>
      <c r="M57" s="105"/>
      <c r="N57" s="105"/>
      <c r="O57" s="105"/>
      <c r="P57" s="105"/>
      <c r="Q57" s="92"/>
      <c r="R57" s="92"/>
      <c r="S57" s="92"/>
      <c r="T57" s="92"/>
      <c r="U57" s="92"/>
      <c r="V57" s="92"/>
      <c r="W57" s="92"/>
      <c r="X57" s="92"/>
      <c r="Y57" s="100"/>
      <c r="AA57" s="106"/>
      <c r="AB57" s="107"/>
      <c r="AJ57" s="265"/>
      <c r="AK57" s="265"/>
      <c r="AL57" s="265"/>
      <c r="AM57" s="265"/>
      <c r="AN57" s="265"/>
    </row>
    <row r="58" spans="1:40" ht="12.95" customHeight="1">
      <c r="A58" s="150"/>
      <c r="B58" s="99"/>
      <c r="C58" s="101"/>
      <c r="D58" s="101"/>
      <c r="E58" s="102"/>
      <c r="F58" s="309" t="s">
        <v>227</v>
      </c>
      <c r="G58" s="196">
        <f>ROUND(9.8*A47/1000,0)</f>
        <v>3</v>
      </c>
      <c r="H58" s="321"/>
      <c r="I58" s="120"/>
      <c r="J58" s="105"/>
      <c r="K58" s="105"/>
      <c r="L58" s="105"/>
      <c r="M58" s="105"/>
      <c r="N58" s="105"/>
      <c r="O58" s="105"/>
      <c r="P58" s="105"/>
      <c r="Q58" s="101"/>
      <c r="R58" s="101"/>
      <c r="S58" s="101"/>
      <c r="T58" s="101"/>
      <c r="U58" s="101"/>
      <c r="V58" s="101"/>
      <c r="W58" s="101"/>
      <c r="X58" s="101"/>
      <c r="Y58" s="100"/>
      <c r="AA58" s="106"/>
      <c r="AB58" s="107"/>
      <c r="AJ58" s="265"/>
      <c r="AK58" s="265"/>
      <c r="AL58" s="265"/>
      <c r="AM58" s="265"/>
      <c r="AN58" s="265"/>
    </row>
    <row r="59" spans="1:40" ht="12.95" customHeight="1">
      <c r="A59" s="164"/>
      <c r="B59" s="99"/>
      <c r="C59" s="101"/>
      <c r="D59" s="133"/>
      <c r="E59" s="108"/>
      <c r="F59" s="340" t="s">
        <v>233</v>
      </c>
      <c r="G59" s="342">
        <f>ROUND(12.3*A47/1000,0)</f>
        <v>3</v>
      </c>
      <c r="H59" s="304"/>
      <c r="I59" s="122"/>
      <c r="J59" s="137"/>
      <c r="K59" s="137"/>
      <c r="L59" s="137"/>
      <c r="M59" s="137"/>
      <c r="N59" s="137"/>
      <c r="O59" s="137"/>
      <c r="P59" s="137"/>
      <c r="Q59" s="101"/>
      <c r="R59" s="101"/>
      <c r="S59" s="101"/>
      <c r="T59" s="101"/>
      <c r="U59" s="101"/>
      <c r="V59" s="101"/>
      <c r="W59" s="101"/>
      <c r="X59" s="101"/>
      <c r="Y59" s="112"/>
      <c r="AA59" s="106"/>
      <c r="AB59" s="107"/>
      <c r="AJ59" s="265"/>
      <c r="AK59" s="265"/>
      <c r="AL59" s="265"/>
      <c r="AM59" s="265"/>
      <c r="AN59" s="265"/>
    </row>
    <row r="60" spans="1:40" ht="12.95" customHeight="1">
      <c r="A60" s="147"/>
      <c r="B60" s="314" t="s">
        <v>128</v>
      </c>
      <c r="C60" s="315"/>
      <c r="D60" s="316"/>
      <c r="E60" s="142" t="s">
        <v>380</v>
      </c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8"/>
      <c r="AA60" s="204"/>
      <c r="AB60" s="107"/>
      <c r="AJ60" s="265"/>
      <c r="AK60" s="265"/>
      <c r="AL60" s="265"/>
      <c r="AM60" s="265"/>
      <c r="AN60" s="265"/>
    </row>
    <row r="61" spans="1:40" s="145" customFormat="1" ht="12.95" customHeight="1">
      <c r="A61" s="147">
        <v>269</v>
      </c>
      <c r="B61" s="343">
        <v>43945</v>
      </c>
      <c r="C61" s="283" t="s">
        <v>129</v>
      </c>
      <c r="D61" s="92" t="s">
        <v>335</v>
      </c>
      <c r="E61" s="93" t="s">
        <v>290</v>
      </c>
      <c r="F61" s="306" t="s">
        <v>203</v>
      </c>
      <c r="G61" s="159">
        <f>ROUND(66*A61/1000,0)</f>
        <v>18</v>
      </c>
      <c r="H61" s="306" t="s">
        <v>204</v>
      </c>
      <c r="I61" s="159">
        <f>ROUND(11*A61/1000,0)</f>
        <v>3</v>
      </c>
      <c r="J61" s="96">
        <v>6</v>
      </c>
      <c r="K61" s="96">
        <v>2.5</v>
      </c>
      <c r="L61" s="96">
        <v>0</v>
      </c>
      <c r="M61" s="96">
        <v>1.4</v>
      </c>
      <c r="N61" s="96">
        <v>0</v>
      </c>
      <c r="O61" s="96">
        <v>2.5</v>
      </c>
      <c r="P61" s="96">
        <f>SUM(J61*70+K61*75+L61*120+M61*25+N61*60+O61*45)</f>
        <v>755</v>
      </c>
      <c r="Q61" s="73"/>
      <c r="R61" s="92"/>
      <c r="S61" s="92"/>
      <c r="T61" s="92"/>
      <c r="U61" s="92"/>
      <c r="V61" s="92"/>
      <c r="W61" s="92"/>
      <c r="X61" s="92"/>
      <c r="Y61" s="344"/>
      <c r="AA61" s="106"/>
      <c r="AC61" s="58"/>
      <c r="AD61" s="58"/>
      <c r="AE61" s="58"/>
      <c r="AF61" s="58"/>
      <c r="AG61" s="58"/>
      <c r="AH61" s="58"/>
      <c r="AI61" s="58"/>
      <c r="AJ61" s="265"/>
      <c r="AK61" s="265"/>
      <c r="AL61" s="265"/>
      <c r="AM61" s="265"/>
      <c r="AN61" s="265"/>
    </row>
    <row r="62" spans="1:40" ht="12.95" customHeight="1">
      <c r="A62" s="150"/>
      <c r="B62" s="345"/>
      <c r="C62" s="287"/>
      <c r="D62" s="101"/>
      <c r="E62" s="81"/>
      <c r="F62" s="308" t="s">
        <v>205</v>
      </c>
      <c r="G62" s="267">
        <f>ROUND(19*A61/1000,0)</f>
        <v>5</v>
      </c>
      <c r="H62" s="308"/>
      <c r="I62" s="114"/>
      <c r="J62" s="105"/>
      <c r="K62" s="105"/>
      <c r="L62" s="105"/>
      <c r="M62" s="105"/>
      <c r="N62" s="105"/>
      <c r="O62" s="105"/>
      <c r="P62" s="105"/>
      <c r="Q62" s="79"/>
      <c r="R62" s="101"/>
      <c r="S62" s="101"/>
      <c r="T62" s="101"/>
      <c r="U62" s="101"/>
      <c r="V62" s="101"/>
      <c r="W62" s="101"/>
      <c r="X62" s="101"/>
      <c r="Y62" s="346"/>
      <c r="AA62" s="106"/>
      <c r="AB62" s="107"/>
      <c r="AJ62" s="265"/>
      <c r="AK62" s="265"/>
      <c r="AL62" s="265"/>
      <c r="AM62" s="265"/>
      <c r="AN62" s="265"/>
    </row>
    <row r="63" spans="1:40" ht="12.95" customHeight="1">
      <c r="A63" s="150"/>
      <c r="B63" s="345"/>
      <c r="C63" s="287"/>
      <c r="D63" s="101"/>
      <c r="E63" s="87"/>
      <c r="F63" s="331" t="s">
        <v>206</v>
      </c>
      <c r="G63" s="162">
        <f>ROUND(9.4*A61/1000,0)</f>
        <v>3</v>
      </c>
      <c r="H63" s="331"/>
      <c r="I63" s="162"/>
      <c r="J63" s="105"/>
      <c r="K63" s="105"/>
      <c r="L63" s="105"/>
      <c r="M63" s="105"/>
      <c r="N63" s="105"/>
      <c r="O63" s="105"/>
      <c r="P63" s="105"/>
      <c r="Q63" s="86"/>
      <c r="R63" s="133"/>
      <c r="S63" s="133"/>
      <c r="T63" s="133"/>
      <c r="U63" s="133"/>
      <c r="V63" s="133"/>
      <c r="W63" s="133"/>
      <c r="X63" s="133"/>
      <c r="Y63" s="346"/>
      <c r="AA63" s="106"/>
      <c r="AB63" s="107"/>
      <c r="AC63" s="265"/>
      <c r="AJ63" s="265"/>
      <c r="AK63" s="265"/>
      <c r="AL63" s="265"/>
      <c r="AM63" s="265"/>
      <c r="AN63" s="265"/>
    </row>
    <row r="64" spans="1:40" ht="12.95" customHeight="1">
      <c r="A64" s="150"/>
      <c r="B64" s="345"/>
      <c r="C64" s="287"/>
      <c r="D64" s="101"/>
      <c r="E64" s="93" t="s">
        <v>169</v>
      </c>
      <c r="F64" s="347" t="s">
        <v>170</v>
      </c>
      <c r="G64" s="116">
        <f>ROUND(70*A61/1000,0)</f>
        <v>19</v>
      </c>
      <c r="H64" s="53"/>
      <c r="I64" s="120"/>
      <c r="J64" s="105"/>
      <c r="K64" s="105"/>
      <c r="L64" s="105"/>
      <c r="M64" s="105"/>
      <c r="N64" s="105"/>
      <c r="O64" s="105"/>
      <c r="P64" s="105"/>
      <c r="Q64" s="92"/>
      <c r="R64" s="92"/>
      <c r="S64" s="92"/>
      <c r="T64" s="92"/>
      <c r="U64" s="92"/>
      <c r="V64" s="92"/>
      <c r="W64" s="92"/>
      <c r="X64" s="92"/>
      <c r="Y64" s="346"/>
      <c r="AA64" s="106"/>
      <c r="AB64" s="107"/>
      <c r="AC64" s="265"/>
      <c r="AJ64" s="265"/>
      <c r="AK64" s="265"/>
      <c r="AL64" s="265"/>
      <c r="AM64" s="265"/>
      <c r="AN64" s="265"/>
    </row>
    <row r="65" spans="1:40" ht="12.95" customHeight="1">
      <c r="A65" s="150"/>
      <c r="B65" s="345"/>
      <c r="C65" s="287"/>
      <c r="D65" s="101"/>
      <c r="E65" s="81"/>
      <c r="F65" s="53" t="s">
        <v>171</v>
      </c>
      <c r="G65" s="120">
        <f>ROUND(11.75*A61/1000,0)</f>
        <v>3</v>
      </c>
      <c r="H65" s="348"/>
      <c r="I65" s="349"/>
      <c r="J65" s="105"/>
      <c r="K65" s="105"/>
      <c r="L65" s="105"/>
      <c r="M65" s="105"/>
      <c r="N65" s="105"/>
      <c r="O65" s="105"/>
      <c r="P65" s="105"/>
      <c r="Q65" s="101"/>
      <c r="R65" s="101"/>
      <c r="S65" s="101"/>
      <c r="T65" s="101"/>
      <c r="U65" s="101"/>
      <c r="V65" s="101"/>
      <c r="W65" s="101"/>
      <c r="X65" s="101"/>
      <c r="Y65" s="346"/>
      <c r="AA65" s="106"/>
      <c r="AB65" s="107"/>
      <c r="AC65" s="265"/>
      <c r="AJ65" s="265"/>
      <c r="AK65" s="265"/>
      <c r="AL65" s="265"/>
      <c r="AM65" s="265"/>
      <c r="AN65" s="265"/>
    </row>
    <row r="66" spans="1:40" ht="12.95" customHeight="1">
      <c r="A66" s="150"/>
      <c r="B66" s="345"/>
      <c r="C66" s="287"/>
      <c r="D66" s="101"/>
      <c r="E66" s="87"/>
      <c r="F66" s="324" t="s">
        <v>172</v>
      </c>
      <c r="G66" s="120">
        <f>ROUND(0.6*A61/1000,1)</f>
        <v>0.2</v>
      </c>
      <c r="H66" s="348"/>
      <c r="I66" s="349"/>
      <c r="J66" s="105"/>
      <c r="K66" s="105"/>
      <c r="L66" s="105"/>
      <c r="M66" s="105"/>
      <c r="N66" s="105"/>
      <c r="O66" s="105"/>
      <c r="P66" s="105"/>
      <c r="Q66" s="133"/>
      <c r="R66" s="133"/>
      <c r="S66" s="133"/>
      <c r="T66" s="133"/>
      <c r="U66" s="133"/>
      <c r="V66" s="133"/>
      <c r="W66" s="133"/>
      <c r="X66" s="133"/>
      <c r="Y66" s="346"/>
      <c r="AA66" s="107"/>
      <c r="AB66" s="107"/>
      <c r="AC66" s="265"/>
      <c r="AJ66" s="265"/>
      <c r="AK66" s="265"/>
      <c r="AL66" s="265"/>
      <c r="AM66" s="265"/>
      <c r="AN66" s="265"/>
    </row>
    <row r="67" spans="1:40" ht="12.95" customHeight="1">
      <c r="A67" s="150"/>
      <c r="B67" s="345"/>
      <c r="C67" s="287"/>
      <c r="D67" s="101"/>
      <c r="E67" s="93" t="s">
        <v>246</v>
      </c>
      <c r="F67" s="305" t="s">
        <v>133</v>
      </c>
      <c r="G67" s="124">
        <v>22</v>
      </c>
      <c r="H67" s="50"/>
      <c r="I67" s="157"/>
      <c r="J67" s="105"/>
      <c r="K67" s="105"/>
      <c r="L67" s="105"/>
      <c r="M67" s="105"/>
      <c r="N67" s="105"/>
      <c r="O67" s="105"/>
      <c r="P67" s="105"/>
      <c r="Q67" s="92"/>
      <c r="R67" s="92"/>
      <c r="S67" s="92"/>
      <c r="T67" s="92"/>
      <c r="U67" s="92"/>
      <c r="V67" s="92"/>
      <c r="W67" s="92"/>
      <c r="X67" s="92"/>
      <c r="Y67" s="346"/>
      <c r="AA67" s="107"/>
      <c r="AB67" s="107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</row>
    <row r="68" spans="1:40" ht="12.95" customHeight="1">
      <c r="A68" s="150"/>
      <c r="B68" s="345"/>
      <c r="C68" s="287"/>
      <c r="D68" s="101"/>
      <c r="E68" s="102"/>
      <c r="F68" s="148" t="s">
        <v>121</v>
      </c>
      <c r="G68" s="135" t="s">
        <v>249</v>
      </c>
      <c r="H68" s="322"/>
      <c r="I68" s="131"/>
      <c r="J68" s="105"/>
      <c r="K68" s="105"/>
      <c r="L68" s="105"/>
      <c r="M68" s="105"/>
      <c r="N68" s="105"/>
      <c r="O68" s="105"/>
      <c r="P68" s="105"/>
      <c r="Q68" s="101"/>
      <c r="R68" s="101"/>
      <c r="S68" s="101"/>
      <c r="T68" s="101"/>
      <c r="U68" s="101"/>
      <c r="V68" s="101"/>
      <c r="W68" s="101"/>
      <c r="X68" s="101"/>
      <c r="Y68" s="346"/>
      <c r="AA68" s="107"/>
      <c r="AB68" s="107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</row>
    <row r="69" spans="1:40" ht="12.95" customHeight="1">
      <c r="A69" s="164"/>
      <c r="B69" s="345"/>
      <c r="C69" s="287"/>
      <c r="D69" s="101"/>
      <c r="E69" s="108"/>
      <c r="F69" s="51"/>
      <c r="G69" s="122"/>
      <c r="H69" s="323"/>
      <c r="I69" s="136"/>
      <c r="J69" s="105"/>
      <c r="K69" s="105"/>
      <c r="L69" s="105"/>
      <c r="M69" s="105"/>
      <c r="N69" s="105"/>
      <c r="O69" s="105"/>
      <c r="P69" s="105"/>
      <c r="Q69" s="133"/>
      <c r="R69" s="133"/>
      <c r="S69" s="133"/>
      <c r="T69" s="133"/>
      <c r="U69" s="133"/>
      <c r="V69" s="133"/>
      <c r="W69" s="133"/>
      <c r="X69" s="133"/>
      <c r="Y69" s="346"/>
      <c r="AA69" s="106"/>
      <c r="AB69" s="107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</row>
    <row r="70" spans="1:40" ht="12.95" customHeight="1">
      <c r="A70" s="150"/>
      <c r="B70" s="345"/>
      <c r="C70" s="287"/>
      <c r="D70" s="101"/>
      <c r="E70" s="93" t="s">
        <v>373</v>
      </c>
      <c r="F70" s="306" t="s">
        <v>291</v>
      </c>
      <c r="G70" s="159">
        <v>12</v>
      </c>
      <c r="H70" s="305"/>
      <c r="I70" s="127"/>
      <c r="J70" s="105"/>
      <c r="K70" s="105"/>
      <c r="L70" s="105"/>
      <c r="M70" s="105"/>
      <c r="N70" s="105"/>
      <c r="O70" s="105"/>
      <c r="P70" s="105"/>
      <c r="Q70" s="92"/>
      <c r="R70" s="92"/>
      <c r="S70" s="92"/>
      <c r="T70" s="92"/>
      <c r="U70" s="92"/>
      <c r="V70" s="92"/>
      <c r="W70" s="92"/>
      <c r="X70" s="92"/>
      <c r="Y70" s="346"/>
      <c r="AB70" s="58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</row>
    <row r="71" spans="1:40" ht="12.95" customHeight="1">
      <c r="A71" s="150"/>
      <c r="B71" s="345"/>
      <c r="C71" s="287"/>
      <c r="D71" s="101"/>
      <c r="E71" s="81"/>
      <c r="F71" s="148" t="s">
        <v>403</v>
      </c>
      <c r="G71" s="114">
        <f>ROUND(15.8*A61/1000,0)</f>
        <v>4</v>
      </c>
      <c r="H71" s="350"/>
      <c r="I71" s="196"/>
      <c r="J71" s="105"/>
      <c r="K71" s="105"/>
      <c r="L71" s="105"/>
      <c r="M71" s="105"/>
      <c r="N71" s="105"/>
      <c r="O71" s="105"/>
      <c r="P71" s="105"/>
      <c r="Q71" s="101"/>
      <c r="R71" s="101"/>
      <c r="S71" s="101"/>
      <c r="T71" s="101"/>
      <c r="U71" s="101"/>
      <c r="V71" s="101"/>
      <c r="W71" s="101"/>
      <c r="X71" s="101"/>
      <c r="Y71" s="346"/>
      <c r="AA71" s="106"/>
      <c r="AB71" s="107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</row>
    <row r="72" spans="1:40" ht="12.95" customHeight="1">
      <c r="A72" s="150"/>
      <c r="B72" s="345"/>
      <c r="C72" s="287"/>
      <c r="D72" s="133"/>
      <c r="E72" s="87"/>
      <c r="F72" s="179"/>
      <c r="G72" s="162"/>
      <c r="H72" s="311"/>
      <c r="I72" s="252"/>
      <c r="J72" s="137"/>
      <c r="K72" s="137"/>
      <c r="L72" s="137"/>
      <c r="M72" s="137"/>
      <c r="N72" s="137"/>
      <c r="O72" s="137"/>
      <c r="P72" s="137"/>
      <c r="Q72" s="133"/>
      <c r="R72" s="133"/>
      <c r="S72" s="133"/>
      <c r="T72" s="133"/>
      <c r="U72" s="133"/>
      <c r="V72" s="133"/>
      <c r="W72" s="133"/>
      <c r="X72" s="133"/>
      <c r="Y72" s="351"/>
      <c r="AA72" s="106"/>
      <c r="AB72" s="107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</row>
    <row r="73" spans="1:40" ht="12.95" customHeight="1">
      <c r="A73" s="150"/>
      <c r="B73" s="139" t="s">
        <v>90</v>
      </c>
      <c r="C73" s="140"/>
      <c r="D73" s="141"/>
      <c r="E73" s="142" t="s">
        <v>381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4"/>
      <c r="AA73" s="204"/>
      <c r="AB73" s="107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</row>
    <row r="74" spans="1:40" ht="7.5" customHeight="1">
      <c r="A74" s="58"/>
      <c r="B74" s="222" t="s">
        <v>93</v>
      </c>
      <c r="C74" s="223"/>
      <c r="D74" s="223"/>
      <c r="E74" s="224"/>
      <c r="F74" s="222" t="s">
        <v>94</v>
      </c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4"/>
      <c r="AB74" s="62"/>
    </row>
    <row r="75" spans="1:40" ht="7.5" customHeight="1">
      <c r="B75" s="225"/>
      <c r="C75" s="226"/>
      <c r="D75" s="226"/>
      <c r="E75" s="227"/>
      <c r="F75" s="225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7"/>
      <c r="AA75" s="107"/>
      <c r="AB75" s="107"/>
    </row>
    <row r="76" spans="1:40" ht="7.5" customHeight="1">
      <c r="B76" s="225"/>
      <c r="C76" s="226"/>
      <c r="D76" s="226"/>
      <c r="E76" s="227"/>
      <c r="F76" s="225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7"/>
      <c r="AA76" s="228"/>
      <c r="AB76" s="229"/>
    </row>
    <row r="77" spans="1:40" ht="7.5" customHeight="1">
      <c r="B77" s="230"/>
      <c r="C77" s="231"/>
      <c r="D77" s="231"/>
      <c r="E77" s="232"/>
      <c r="F77" s="230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2"/>
      <c r="AA77" s="233"/>
      <c r="AB77" s="234"/>
    </row>
    <row r="78" spans="1:40">
      <c r="B78" s="235" t="s">
        <v>42</v>
      </c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AA78" s="58"/>
      <c r="AB78" s="207"/>
    </row>
    <row r="79" spans="1:40" ht="21">
      <c r="B79" s="236" t="s">
        <v>43</v>
      </c>
      <c r="C79" s="236"/>
      <c r="D79" s="236"/>
      <c r="E79" s="236"/>
      <c r="H79" s="236" t="s">
        <v>37</v>
      </c>
      <c r="I79" s="236"/>
      <c r="J79" s="236"/>
      <c r="K79" s="237"/>
      <c r="L79" s="237"/>
      <c r="M79" s="237"/>
      <c r="N79" s="238"/>
      <c r="O79" s="238"/>
      <c r="P79" s="239"/>
      <c r="Q79" s="239"/>
      <c r="R79" s="239"/>
      <c r="S79" s="238" t="s">
        <v>44</v>
      </c>
      <c r="T79" s="238"/>
      <c r="U79" s="240"/>
      <c r="V79" s="240"/>
      <c r="W79" s="240"/>
      <c r="X79" s="240"/>
      <c r="Y79" s="240"/>
      <c r="AA79" s="215"/>
      <c r="AB79" s="241"/>
    </row>
  </sheetData>
  <sheetProtection formatCells="0" selectLockedCells="1" selectUnlockedCells="1"/>
  <protectedRanges>
    <protectedRange password="C60F" sqref="P78:S78" name="範圍1_1"/>
  </protectedRanges>
  <mergeCells count="277">
    <mergeCell ref="S79:T79"/>
    <mergeCell ref="B79:E79"/>
    <mergeCell ref="H79:J79"/>
    <mergeCell ref="N79:O79"/>
    <mergeCell ref="T61:T63"/>
    <mergeCell ref="Q61:Q63"/>
    <mergeCell ref="R61:R63"/>
    <mergeCell ref="E73:Y73"/>
    <mergeCell ref="Q64:Q66"/>
    <mergeCell ref="R64:R66"/>
    <mergeCell ref="S64:S66"/>
    <mergeCell ref="T64:T66"/>
    <mergeCell ref="U64:U66"/>
    <mergeCell ref="V64:V66"/>
    <mergeCell ref="Q67:Q69"/>
    <mergeCell ref="D61:D72"/>
    <mergeCell ref="B73:D73"/>
    <mergeCell ref="B78:Y78"/>
    <mergeCell ref="X67:X69"/>
    <mergeCell ref="E70:E72"/>
    <mergeCell ref="Q70:Q72"/>
    <mergeCell ref="R70:R72"/>
    <mergeCell ref="S70:S72"/>
    <mergeCell ref="B74:E77"/>
    <mergeCell ref="F74:Y77"/>
    <mergeCell ref="R67:R69"/>
    <mergeCell ref="S67:S69"/>
    <mergeCell ref="T67:T69"/>
    <mergeCell ref="U67:U69"/>
    <mergeCell ref="P61:P72"/>
    <mergeCell ref="W64:W66"/>
    <mergeCell ref="X64:X66"/>
    <mergeCell ref="E67:E69"/>
    <mergeCell ref="V67:V69"/>
    <mergeCell ref="W67:W69"/>
    <mergeCell ref="W61:W63"/>
    <mergeCell ref="M61:M72"/>
    <mergeCell ref="N61:N72"/>
    <mergeCell ref="O61:O72"/>
    <mergeCell ref="U61:U63"/>
    <mergeCell ref="V61:V63"/>
    <mergeCell ref="X61:X63"/>
    <mergeCell ref="J61:J72"/>
    <mergeCell ref="K61:K72"/>
    <mergeCell ref="L61:L72"/>
    <mergeCell ref="T70:T72"/>
    <mergeCell ref="U70:U72"/>
    <mergeCell ref="V70:V72"/>
    <mergeCell ref="B60:D60"/>
    <mergeCell ref="E60:Y60"/>
    <mergeCell ref="E61:E63"/>
    <mergeCell ref="W54:W56"/>
    <mergeCell ref="X54:X56"/>
    <mergeCell ref="E57:E59"/>
    <mergeCell ref="Q57:Q59"/>
    <mergeCell ref="R57:R59"/>
    <mergeCell ref="S57:S59"/>
    <mergeCell ref="T57:T59"/>
    <mergeCell ref="U57:U59"/>
    <mergeCell ref="V57:V59"/>
    <mergeCell ref="W57:W59"/>
    <mergeCell ref="E54:E56"/>
    <mergeCell ref="Q54:Q56"/>
    <mergeCell ref="R54:R56"/>
    <mergeCell ref="S54:S56"/>
    <mergeCell ref="T54:T56"/>
    <mergeCell ref="U54:U56"/>
    <mergeCell ref="Y61:Y72"/>
    <mergeCell ref="E64:E66"/>
    <mergeCell ref="B61:B72"/>
    <mergeCell ref="C61:C72"/>
    <mergeCell ref="S61:S63"/>
    <mergeCell ref="E51:E53"/>
    <mergeCell ref="Q51:Q53"/>
    <mergeCell ref="R51:R53"/>
    <mergeCell ref="S51:S53"/>
    <mergeCell ref="T51:T53"/>
    <mergeCell ref="U51:U53"/>
    <mergeCell ref="T47:T50"/>
    <mergeCell ref="U47:U50"/>
    <mergeCell ref="O47:O59"/>
    <mergeCell ref="P47:P59"/>
    <mergeCell ref="Q47:Q50"/>
    <mergeCell ref="R47:R50"/>
    <mergeCell ref="S47:S50"/>
    <mergeCell ref="M47:M59"/>
    <mergeCell ref="N47:N59"/>
    <mergeCell ref="L47:L59"/>
    <mergeCell ref="Y47:Y59"/>
    <mergeCell ref="V51:V53"/>
    <mergeCell ref="W51:W53"/>
    <mergeCell ref="X51:X53"/>
    <mergeCell ref="V54:V56"/>
    <mergeCell ref="X57:X59"/>
    <mergeCell ref="Y34:Y45"/>
    <mergeCell ref="X34:X36"/>
    <mergeCell ref="W47:W50"/>
    <mergeCell ref="X47:X50"/>
    <mergeCell ref="W34:W36"/>
    <mergeCell ref="W43:W45"/>
    <mergeCell ref="X43:X45"/>
    <mergeCell ref="T34:T36"/>
    <mergeCell ref="U34:U36"/>
    <mergeCell ref="V47:V50"/>
    <mergeCell ref="B46:D46"/>
    <mergeCell ref="E46:Y46"/>
    <mergeCell ref="B47:B59"/>
    <mergeCell ref="C47:C59"/>
    <mergeCell ref="D47:D59"/>
    <mergeCell ref="E47:E50"/>
    <mergeCell ref="J47:J59"/>
    <mergeCell ref="K47:K59"/>
    <mergeCell ref="W37:W39"/>
    <mergeCell ref="X37:X39"/>
    <mergeCell ref="E40:E42"/>
    <mergeCell ref="E43:E45"/>
    <mergeCell ref="Q43:Q45"/>
    <mergeCell ref="R43:R45"/>
    <mergeCell ref="S43:S45"/>
    <mergeCell ref="T43:T45"/>
    <mergeCell ref="U43:U45"/>
    <mergeCell ref="V43:V45"/>
    <mergeCell ref="B34:B45"/>
    <mergeCell ref="C34:C45"/>
    <mergeCell ref="D34:D45"/>
    <mergeCell ref="U27:U29"/>
    <mergeCell ref="R21:R23"/>
    <mergeCell ref="S21:S23"/>
    <mergeCell ref="T21:T23"/>
    <mergeCell ref="E34:E36"/>
    <mergeCell ref="J34:J45"/>
    <mergeCell ref="K34:K45"/>
    <mergeCell ref="V34:V36"/>
    <mergeCell ref="L34:L45"/>
    <mergeCell ref="M34:M45"/>
    <mergeCell ref="N34:N45"/>
    <mergeCell ref="O34:O45"/>
    <mergeCell ref="V21:V23"/>
    <mergeCell ref="E37:E39"/>
    <mergeCell ref="Q37:Q39"/>
    <mergeCell ref="R37:R39"/>
    <mergeCell ref="S37:S39"/>
    <mergeCell ref="T37:T39"/>
    <mergeCell ref="U37:U39"/>
    <mergeCell ref="V37:V39"/>
    <mergeCell ref="P34:P45"/>
    <mergeCell ref="Q34:Q36"/>
    <mergeCell ref="R34:R36"/>
    <mergeCell ref="S34:S36"/>
    <mergeCell ref="W21:W23"/>
    <mergeCell ref="V27:V29"/>
    <mergeCell ref="W27:W29"/>
    <mergeCell ref="X27:X29"/>
    <mergeCell ref="B33:D33"/>
    <mergeCell ref="E33:Y33"/>
    <mergeCell ref="E30:E32"/>
    <mergeCell ref="Q30:Q32"/>
    <mergeCell ref="R30:R32"/>
    <mergeCell ref="S30:S32"/>
    <mergeCell ref="T30:T32"/>
    <mergeCell ref="U30:U32"/>
    <mergeCell ref="L21:L32"/>
    <mergeCell ref="M21:M32"/>
    <mergeCell ref="N21:N32"/>
    <mergeCell ref="O21:O32"/>
    <mergeCell ref="P21:P32"/>
    <mergeCell ref="Q21:Q23"/>
    <mergeCell ref="X24:X26"/>
    <mergeCell ref="E27:E29"/>
    <mergeCell ref="Q27:Q29"/>
    <mergeCell ref="R27:R29"/>
    <mergeCell ref="S27:S29"/>
    <mergeCell ref="T27:T29"/>
    <mergeCell ref="W70:W72"/>
    <mergeCell ref="X70:X72"/>
    <mergeCell ref="B20:D20"/>
    <mergeCell ref="E20:Y20"/>
    <mergeCell ref="B21:B32"/>
    <mergeCell ref="C21:C32"/>
    <mergeCell ref="D21:D32"/>
    <mergeCell ref="E21:E23"/>
    <mergeCell ref="J21:J32"/>
    <mergeCell ref="K21:K32"/>
    <mergeCell ref="X21:X23"/>
    <mergeCell ref="Y21:Y32"/>
    <mergeCell ref="E24:E26"/>
    <mergeCell ref="Q24:Q26"/>
    <mergeCell ref="R24:R26"/>
    <mergeCell ref="S24:S26"/>
    <mergeCell ref="T24:T26"/>
    <mergeCell ref="U24:U26"/>
    <mergeCell ref="V24:V26"/>
    <mergeCell ref="W24:W26"/>
    <mergeCell ref="V30:V32"/>
    <mergeCell ref="W30:W32"/>
    <mergeCell ref="X30:X32"/>
    <mergeCell ref="U21:U23"/>
    <mergeCell ref="Y8:Y19"/>
    <mergeCell ref="E11:E13"/>
    <mergeCell ref="Q11:Q13"/>
    <mergeCell ref="R11:R13"/>
    <mergeCell ref="S11:S13"/>
    <mergeCell ref="T11:T13"/>
    <mergeCell ref="O8:O19"/>
    <mergeCell ref="P8:P19"/>
    <mergeCell ref="Q8:Q10"/>
    <mergeCell ref="R8:R10"/>
    <mergeCell ref="S8:S10"/>
    <mergeCell ref="T8:T10"/>
    <mergeCell ref="U11:U13"/>
    <mergeCell ref="V11:V13"/>
    <mergeCell ref="W11:W13"/>
    <mergeCell ref="X11:X13"/>
    <mergeCell ref="E14:E16"/>
    <mergeCell ref="Q14:Q16"/>
    <mergeCell ref="R14:R16"/>
    <mergeCell ref="S14:S16"/>
    <mergeCell ref="T14:T16"/>
    <mergeCell ref="U14:U16"/>
    <mergeCell ref="V14:V16"/>
    <mergeCell ref="W14:W16"/>
    <mergeCell ref="B8:B19"/>
    <mergeCell ref="C8:C19"/>
    <mergeCell ref="D8:D19"/>
    <mergeCell ref="E8:E10"/>
    <mergeCell ref="J8:J19"/>
    <mergeCell ref="K8:K19"/>
    <mergeCell ref="L8:L19"/>
    <mergeCell ref="M8:M19"/>
    <mergeCell ref="N8:N19"/>
    <mergeCell ref="E17:E19"/>
    <mergeCell ref="Y3:Y7"/>
    <mergeCell ref="E4:E7"/>
    <mergeCell ref="F4:F7"/>
    <mergeCell ref="G4:G7"/>
    <mergeCell ref="H4:H7"/>
    <mergeCell ref="I4:I7"/>
    <mergeCell ref="J4:P4"/>
    <mergeCell ref="Q4:Q7"/>
    <mergeCell ref="R4:R7"/>
    <mergeCell ref="P5:P7"/>
    <mergeCell ref="J5:J7"/>
    <mergeCell ref="K5:K7"/>
    <mergeCell ref="L5:L7"/>
    <mergeCell ref="M5:M7"/>
    <mergeCell ref="N5:N7"/>
    <mergeCell ref="O5:O7"/>
    <mergeCell ref="B3:B7"/>
    <mergeCell ref="C3:C7"/>
    <mergeCell ref="D3:D7"/>
    <mergeCell ref="E3:P3"/>
    <mergeCell ref="Q3:S3"/>
    <mergeCell ref="S4:S7"/>
    <mergeCell ref="T4:T6"/>
    <mergeCell ref="U4:U6"/>
    <mergeCell ref="V4:V6"/>
    <mergeCell ref="T3:X3"/>
    <mergeCell ref="X14:X16"/>
    <mergeCell ref="Q17:Q19"/>
    <mergeCell ref="R17:R19"/>
    <mergeCell ref="P1:V1"/>
    <mergeCell ref="E2:G2"/>
    <mergeCell ref="H2:O2"/>
    <mergeCell ref="P2:U2"/>
    <mergeCell ref="V2:X2"/>
    <mergeCell ref="W4:W6"/>
    <mergeCell ref="X4:X6"/>
    <mergeCell ref="U8:U10"/>
    <mergeCell ref="V8:V10"/>
    <mergeCell ref="W8:W10"/>
    <mergeCell ref="X8:X10"/>
    <mergeCell ref="S17:S19"/>
    <mergeCell ref="T17:T19"/>
    <mergeCell ref="U17:U19"/>
    <mergeCell ref="V17:V19"/>
    <mergeCell ref="W17:W19"/>
    <mergeCell ref="X17:X19"/>
  </mergeCells>
  <phoneticPr fontId="3" type="noConversion"/>
  <printOptions horizontalCentered="1" verticalCentered="1"/>
  <pageMargins left="0.59055118110236227" right="0.39370078740157483" top="0.19685039370078741" bottom="0" header="0" footer="0"/>
  <pageSetup paperSize="9" scale="84" orientation="portrait" r:id="rId1"/>
  <headerFooter alignWithMargins="0"/>
  <colBreaks count="1" manualBreakCount="1"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78"/>
  <sheetViews>
    <sheetView zoomScaleNormal="100" workbookViewId="0">
      <selection activeCell="AB20" sqref="AB20"/>
    </sheetView>
  </sheetViews>
  <sheetFormatPr defaultColWidth="9" defaultRowHeight="16.5"/>
  <cols>
    <col min="1" max="1" width="5.375" style="98" customWidth="1"/>
    <col min="2" max="2" width="3.625" style="57" customWidth="1"/>
    <col min="3" max="4" width="3.625" style="58" customWidth="1"/>
    <col min="5" max="5" width="11.625" style="58" customWidth="1"/>
    <col min="6" max="6" width="6.5" style="281" customWidth="1"/>
    <col min="7" max="7" width="5.625" style="58" customWidth="1"/>
    <col min="8" max="8" width="6.25" style="282" customWidth="1"/>
    <col min="9" max="9" width="3.625" style="63" customWidth="1"/>
    <col min="10" max="10" width="4" style="58" customWidth="1"/>
    <col min="11" max="11" width="3.625" style="58" customWidth="1"/>
    <col min="12" max="12" width="4" style="58" customWidth="1"/>
    <col min="13" max="13" width="3.875" style="58" customWidth="1"/>
    <col min="14" max="14" width="4.5" style="58" customWidth="1"/>
    <col min="15" max="21" width="3.875" style="58" customWidth="1"/>
    <col min="22" max="22" width="4.5" style="58" customWidth="1"/>
    <col min="23" max="25" width="3.875" style="58" customWidth="1"/>
    <col min="26" max="26" width="2.5" style="58" customWidth="1"/>
    <col min="27" max="27" width="5.75" style="97" customWidth="1"/>
    <col min="28" max="28" width="6" style="63" customWidth="1"/>
    <col min="29" max="16384" width="9" style="58"/>
  </cols>
  <sheetData>
    <row r="1" spans="1:40" s="233" customFormat="1">
      <c r="A1" s="56"/>
      <c r="B1" s="56"/>
      <c r="F1" s="281"/>
      <c r="G1" s="58"/>
      <c r="H1" s="282"/>
      <c r="I1" s="63"/>
      <c r="P1" s="244" t="s">
        <v>45</v>
      </c>
      <c r="Q1" s="244"/>
      <c r="R1" s="244"/>
      <c r="S1" s="244"/>
      <c r="T1" s="244"/>
      <c r="U1" s="244"/>
      <c r="V1" s="244"/>
      <c r="Y1" s="61">
        <v>20</v>
      </c>
      <c r="AA1" s="62"/>
      <c r="AB1" s="63"/>
    </row>
    <row r="2" spans="1:40" s="233" customFormat="1" ht="15.75" customHeight="1">
      <c r="A2" s="64"/>
      <c r="B2" s="245"/>
      <c r="C2" s="246"/>
      <c r="D2" s="246"/>
      <c r="E2" s="67" t="s">
        <v>374</v>
      </c>
      <c r="F2" s="68"/>
      <c r="G2" s="68"/>
      <c r="H2" s="247" t="s">
        <v>144</v>
      </c>
      <c r="I2" s="247"/>
      <c r="J2" s="247"/>
      <c r="K2" s="247"/>
      <c r="L2" s="247"/>
      <c r="M2" s="247"/>
      <c r="N2" s="247"/>
      <c r="O2" s="247"/>
      <c r="P2" s="247" t="s">
        <v>46</v>
      </c>
      <c r="Q2" s="247"/>
      <c r="R2" s="247"/>
      <c r="S2" s="247"/>
      <c r="T2" s="247"/>
      <c r="U2" s="247"/>
      <c r="V2" s="248" t="s">
        <v>47</v>
      </c>
      <c r="W2" s="248"/>
      <c r="X2" s="248"/>
      <c r="Y2" s="352" t="s">
        <v>145</v>
      </c>
      <c r="Z2" s="249"/>
      <c r="AA2" s="72"/>
      <c r="AB2" s="63"/>
    </row>
    <row r="3" spans="1:40" s="233" customFormat="1" ht="12.95" customHeight="1">
      <c r="A3" s="64"/>
      <c r="B3" s="283" t="s">
        <v>95</v>
      </c>
      <c r="C3" s="283" t="s">
        <v>96</v>
      </c>
      <c r="D3" s="283" t="s">
        <v>97</v>
      </c>
      <c r="E3" s="284" t="s">
        <v>98</v>
      </c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  <c r="Q3" s="284" t="s">
        <v>99</v>
      </c>
      <c r="R3" s="285"/>
      <c r="S3" s="286"/>
      <c r="T3" s="284" t="s">
        <v>100</v>
      </c>
      <c r="U3" s="285"/>
      <c r="V3" s="285"/>
      <c r="W3" s="285"/>
      <c r="X3" s="286"/>
      <c r="Y3" s="283" t="s">
        <v>101</v>
      </c>
      <c r="Z3" s="249"/>
      <c r="AA3" s="78"/>
      <c r="AB3" s="62"/>
    </row>
    <row r="4" spans="1:40" s="233" customFormat="1" ht="12.95" customHeight="1">
      <c r="A4" s="64"/>
      <c r="B4" s="287"/>
      <c r="C4" s="287"/>
      <c r="D4" s="287"/>
      <c r="E4" s="288" t="s">
        <v>102</v>
      </c>
      <c r="F4" s="289" t="s">
        <v>50</v>
      </c>
      <c r="G4" s="290" t="s">
        <v>103</v>
      </c>
      <c r="H4" s="289" t="s">
        <v>50</v>
      </c>
      <c r="I4" s="290" t="s">
        <v>103</v>
      </c>
      <c r="J4" s="284" t="s">
        <v>104</v>
      </c>
      <c r="K4" s="291"/>
      <c r="L4" s="291"/>
      <c r="M4" s="291"/>
      <c r="N4" s="291"/>
      <c r="O4" s="291"/>
      <c r="P4" s="292"/>
      <c r="Q4" s="283" t="s">
        <v>105</v>
      </c>
      <c r="R4" s="283" t="s">
        <v>106</v>
      </c>
      <c r="S4" s="283" t="s">
        <v>107</v>
      </c>
      <c r="T4" s="283" t="s">
        <v>108</v>
      </c>
      <c r="U4" s="283" t="s">
        <v>109</v>
      </c>
      <c r="V4" s="283" t="s">
        <v>110</v>
      </c>
      <c r="W4" s="283" t="s">
        <v>111</v>
      </c>
      <c r="X4" s="283" t="s">
        <v>112</v>
      </c>
      <c r="Y4" s="287"/>
      <c r="Z4" s="249"/>
      <c r="AA4" s="78"/>
      <c r="AB4" s="62"/>
    </row>
    <row r="5" spans="1:40" s="233" customFormat="1" ht="12.95" customHeight="1">
      <c r="A5" s="64"/>
      <c r="B5" s="287"/>
      <c r="C5" s="287"/>
      <c r="D5" s="287"/>
      <c r="E5" s="288"/>
      <c r="F5" s="289"/>
      <c r="G5" s="290"/>
      <c r="H5" s="289"/>
      <c r="I5" s="290"/>
      <c r="J5" s="290" t="s">
        <v>113</v>
      </c>
      <c r="K5" s="290" t="s">
        <v>114</v>
      </c>
      <c r="L5" s="290" t="s">
        <v>115</v>
      </c>
      <c r="M5" s="290" t="s">
        <v>116</v>
      </c>
      <c r="N5" s="290" t="s">
        <v>117</v>
      </c>
      <c r="O5" s="293" t="s">
        <v>118</v>
      </c>
      <c r="P5" s="290" t="s">
        <v>119</v>
      </c>
      <c r="Q5" s="287"/>
      <c r="R5" s="287"/>
      <c r="S5" s="287"/>
      <c r="T5" s="287"/>
      <c r="U5" s="287"/>
      <c r="V5" s="287"/>
      <c r="W5" s="287"/>
      <c r="X5" s="287"/>
      <c r="Y5" s="287"/>
      <c r="Z5" s="249"/>
      <c r="AA5" s="78"/>
      <c r="AB5" s="62"/>
    </row>
    <row r="6" spans="1:40" s="233" customFormat="1" ht="12.95" customHeight="1">
      <c r="A6" s="64"/>
      <c r="B6" s="287"/>
      <c r="C6" s="287"/>
      <c r="D6" s="287"/>
      <c r="E6" s="288"/>
      <c r="F6" s="289"/>
      <c r="G6" s="290"/>
      <c r="H6" s="289"/>
      <c r="I6" s="290"/>
      <c r="J6" s="290"/>
      <c r="K6" s="290"/>
      <c r="L6" s="290"/>
      <c r="M6" s="290"/>
      <c r="N6" s="290"/>
      <c r="O6" s="293"/>
      <c r="P6" s="290"/>
      <c r="Q6" s="287"/>
      <c r="R6" s="287"/>
      <c r="S6" s="287"/>
      <c r="T6" s="294"/>
      <c r="U6" s="294"/>
      <c r="V6" s="294"/>
      <c r="W6" s="294"/>
      <c r="X6" s="294"/>
      <c r="Y6" s="287"/>
      <c r="Z6" s="249"/>
      <c r="AA6" s="78"/>
      <c r="AB6" s="62"/>
    </row>
    <row r="7" spans="1:40" s="233" customFormat="1" ht="12.95" customHeight="1">
      <c r="A7" s="64"/>
      <c r="B7" s="294"/>
      <c r="C7" s="294"/>
      <c r="D7" s="294"/>
      <c r="E7" s="295"/>
      <c r="F7" s="191"/>
      <c r="G7" s="290"/>
      <c r="H7" s="289"/>
      <c r="I7" s="283"/>
      <c r="J7" s="290"/>
      <c r="K7" s="290"/>
      <c r="L7" s="290"/>
      <c r="M7" s="290"/>
      <c r="N7" s="290"/>
      <c r="O7" s="293"/>
      <c r="P7" s="290"/>
      <c r="Q7" s="294"/>
      <c r="R7" s="294"/>
      <c r="S7" s="294"/>
      <c r="T7" s="296">
        <v>5</v>
      </c>
      <c r="U7" s="296">
        <v>4</v>
      </c>
      <c r="V7" s="296">
        <v>3</v>
      </c>
      <c r="W7" s="296">
        <v>2</v>
      </c>
      <c r="X7" s="296">
        <v>1</v>
      </c>
      <c r="Y7" s="294"/>
      <c r="Z7" s="249"/>
      <c r="AA7" s="78"/>
      <c r="AB7" s="62"/>
    </row>
    <row r="8" spans="1:40" ht="12.95" customHeight="1">
      <c r="A8" s="58">
        <v>269</v>
      </c>
      <c r="B8" s="90">
        <v>43948</v>
      </c>
      <c r="C8" s="92" t="s">
        <v>22</v>
      </c>
      <c r="D8" s="92" t="s">
        <v>140</v>
      </c>
      <c r="E8" s="93" t="s">
        <v>175</v>
      </c>
      <c r="F8" s="353" t="s">
        <v>176</v>
      </c>
      <c r="G8" s="129">
        <f>ROUND(68*A8/1000,0)</f>
        <v>18</v>
      </c>
      <c r="H8" s="353" t="s">
        <v>177</v>
      </c>
      <c r="I8" s="129">
        <f>ROUND(0.6*A8/1000,1)</f>
        <v>0.2</v>
      </c>
      <c r="J8" s="96">
        <v>5.5</v>
      </c>
      <c r="K8" s="96">
        <v>2.5</v>
      </c>
      <c r="L8" s="96">
        <v>0</v>
      </c>
      <c r="M8" s="96">
        <v>1.1000000000000001</v>
      </c>
      <c r="N8" s="96">
        <v>0</v>
      </c>
      <c r="O8" s="96">
        <v>2.5</v>
      </c>
      <c r="P8" s="96">
        <f>J8*70+K8*75+M8*25+O8*45+L8*120</f>
        <v>712.5</v>
      </c>
      <c r="Q8" s="73"/>
      <c r="R8" s="92"/>
      <c r="S8" s="92"/>
      <c r="T8" s="92"/>
      <c r="U8" s="92"/>
      <c r="V8" s="92"/>
      <c r="W8" s="92"/>
      <c r="X8" s="92"/>
      <c r="Y8" s="92" t="s">
        <v>298</v>
      </c>
      <c r="Z8" s="71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</row>
    <row r="9" spans="1:40" ht="12.95" customHeight="1">
      <c r="B9" s="99"/>
      <c r="C9" s="101"/>
      <c r="D9" s="101"/>
      <c r="E9" s="81"/>
      <c r="F9" s="308" t="s">
        <v>178</v>
      </c>
      <c r="G9" s="196">
        <f>ROUND(9.3*A8/1000,0)</f>
        <v>3</v>
      </c>
      <c r="H9" s="350" t="s">
        <v>179</v>
      </c>
      <c r="I9" s="196" t="s">
        <v>180</v>
      </c>
      <c r="J9" s="105"/>
      <c r="K9" s="105"/>
      <c r="L9" s="105"/>
      <c r="M9" s="105"/>
      <c r="N9" s="105"/>
      <c r="O9" s="105"/>
      <c r="P9" s="105"/>
      <c r="Q9" s="79"/>
      <c r="R9" s="101"/>
      <c r="S9" s="101"/>
      <c r="T9" s="101"/>
      <c r="U9" s="101"/>
      <c r="V9" s="101"/>
      <c r="W9" s="101"/>
      <c r="X9" s="101"/>
      <c r="Y9" s="101"/>
      <c r="Z9" s="71"/>
      <c r="AB9" s="354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.95" customHeight="1">
      <c r="B10" s="99"/>
      <c r="C10" s="101"/>
      <c r="D10" s="101"/>
      <c r="E10" s="87"/>
      <c r="F10" s="331" t="s">
        <v>181</v>
      </c>
      <c r="G10" s="162">
        <f>ROUND(5.7*A8/1000,0)</f>
        <v>2</v>
      </c>
      <c r="H10" s="355" t="s">
        <v>404</v>
      </c>
      <c r="I10" s="252">
        <v>3</v>
      </c>
      <c r="J10" s="105"/>
      <c r="K10" s="105"/>
      <c r="L10" s="105"/>
      <c r="M10" s="105"/>
      <c r="N10" s="105"/>
      <c r="O10" s="105"/>
      <c r="P10" s="105"/>
      <c r="Q10" s="86"/>
      <c r="R10" s="133"/>
      <c r="S10" s="133"/>
      <c r="T10" s="133"/>
      <c r="U10" s="133"/>
      <c r="V10" s="133"/>
      <c r="W10" s="133"/>
      <c r="X10" s="133"/>
      <c r="Y10" s="101"/>
      <c r="Z10" s="71"/>
      <c r="AA10" s="106"/>
      <c r="AB10" s="354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</row>
    <row r="11" spans="1:40" ht="12.95" customHeight="1">
      <c r="B11" s="99"/>
      <c r="C11" s="101"/>
      <c r="D11" s="101"/>
      <c r="E11" s="356" t="s">
        <v>366</v>
      </c>
      <c r="F11" s="357" t="s">
        <v>362</v>
      </c>
      <c r="G11" s="233">
        <f>ROUND(53.5*A8/1000,1)</f>
        <v>14.4</v>
      </c>
      <c r="H11" s="308"/>
      <c r="I11" s="114"/>
      <c r="J11" s="105"/>
      <c r="K11" s="105"/>
      <c r="L11" s="105"/>
      <c r="M11" s="105"/>
      <c r="N11" s="105"/>
      <c r="O11" s="105"/>
      <c r="P11" s="105"/>
      <c r="Q11" s="92"/>
      <c r="R11" s="92"/>
      <c r="S11" s="92"/>
      <c r="T11" s="92"/>
      <c r="U11" s="92"/>
      <c r="V11" s="92"/>
      <c r="W11" s="92"/>
      <c r="X11" s="92"/>
      <c r="Y11" s="101"/>
      <c r="AA11" s="106"/>
      <c r="AC11" s="265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40" ht="12.95" customHeight="1">
      <c r="B12" s="99"/>
      <c r="C12" s="101"/>
      <c r="D12" s="101"/>
      <c r="E12" s="358"/>
      <c r="F12" s="359" t="s">
        <v>367</v>
      </c>
      <c r="G12" s="233">
        <f>ROUND(12*A8/1000,0)</f>
        <v>3</v>
      </c>
      <c r="H12" s="308"/>
      <c r="I12" s="114"/>
      <c r="J12" s="105"/>
      <c r="K12" s="105"/>
      <c r="L12" s="105"/>
      <c r="M12" s="105"/>
      <c r="N12" s="105"/>
      <c r="O12" s="105"/>
      <c r="P12" s="105"/>
      <c r="Q12" s="101"/>
      <c r="R12" s="101"/>
      <c r="S12" s="101"/>
      <c r="T12" s="101"/>
      <c r="U12" s="101"/>
      <c r="V12" s="101"/>
      <c r="W12" s="101"/>
      <c r="X12" s="101"/>
      <c r="Y12" s="101"/>
      <c r="AA12" s="117"/>
      <c r="AB12" s="106"/>
      <c r="AC12" s="265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</row>
    <row r="13" spans="1:40" ht="12.95" customHeight="1">
      <c r="B13" s="99"/>
      <c r="C13" s="101"/>
      <c r="D13" s="101"/>
      <c r="E13" s="360"/>
      <c r="F13" s="340" t="s">
        <v>338</v>
      </c>
      <c r="G13" s="361">
        <f>ROUND(6.7*A8/1000,0)</f>
        <v>2</v>
      </c>
      <c r="H13" s="308"/>
      <c r="I13" s="114"/>
      <c r="J13" s="105"/>
      <c r="K13" s="105"/>
      <c r="L13" s="105"/>
      <c r="M13" s="105"/>
      <c r="N13" s="105"/>
      <c r="O13" s="105"/>
      <c r="P13" s="105"/>
      <c r="Q13" s="133"/>
      <c r="R13" s="133"/>
      <c r="S13" s="133"/>
      <c r="T13" s="133"/>
      <c r="U13" s="133"/>
      <c r="V13" s="133"/>
      <c r="W13" s="133"/>
      <c r="X13" s="133"/>
      <c r="Y13" s="101"/>
      <c r="AA13" s="106"/>
      <c r="AB13" s="106"/>
      <c r="AC13" s="265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</row>
    <row r="14" spans="1:40" ht="12.95" customHeight="1">
      <c r="B14" s="99"/>
      <c r="C14" s="101"/>
      <c r="D14" s="101"/>
      <c r="E14" s="93" t="s">
        <v>246</v>
      </c>
      <c r="F14" s="305" t="s">
        <v>247</v>
      </c>
      <c r="G14" s="124">
        <f>80*A8/1000</f>
        <v>21.52</v>
      </c>
      <c r="H14" s="297"/>
      <c r="I14" s="120"/>
      <c r="J14" s="105"/>
      <c r="K14" s="105"/>
      <c r="L14" s="105"/>
      <c r="M14" s="105"/>
      <c r="N14" s="105"/>
      <c r="O14" s="105"/>
      <c r="P14" s="105"/>
      <c r="Q14" s="92"/>
      <c r="R14" s="92"/>
      <c r="S14" s="92"/>
      <c r="T14" s="92"/>
      <c r="U14" s="92"/>
      <c r="V14" s="92"/>
      <c r="W14" s="92"/>
      <c r="X14" s="92"/>
      <c r="Y14" s="101"/>
      <c r="AA14" s="107"/>
      <c r="AB14" s="107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</row>
    <row r="15" spans="1:40" ht="12.95" customHeight="1">
      <c r="B15" s="99"/>
      <c r="C15" s="101"/>
      <c r="D15" s="101"/>
      <c r="E15" s="102"/>
      <c r="F15" s="148" t="s">
        <v>250</v>
      </c>
      <c r="G15" s="114">
        <v>3</v>
      </c>
      <c r="H15" s="53"/>
      <c r="I15" s="120"/>
      <c r="J15" s="105"/>
      <c r="K15" s="105"/>
      <c r="L15" s="105"/>
      <c r="M15" s="105"/>
      <c r="N15" s="105"/>
      <c r="O15" s="105"/>
      <c r="P15" s="105"/>
      <c r="Q15" s="101"/>
      <c r="R15" s="101"/>
      <c r="S15" s="101"/>
      <c r="T15" s="101"/>
      <c r="U15" s="101"/>
      <c r="V15" s="101"/>
      <c r="W15" s="101"/>
      <c r="X15" s="101"/>
      <c r="Y15" s="101"/>
      <c r="AA15" s="107"/>
      <c r="AB15" s="107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</row>
    <row r="16" spans="1:40" ht="12.95" customHeight="1">
      <c r="B16" s="99"/>
      <c r="C16" s="101"/>
      <c r="D16" s="101"/>
      <c r="E16" s="108"/>
      <c r="F16" s="51"/>
      <c r="G16" s="122"/>
      <c r="H16" s="51"/>
      <c r="I16" s="122"/>
      <c r="J16" s="105"/>
      <c r="K16" s="105"/>
      <c r="L16" s="105"/>
      <c r="M16" s="105"/>
      <c r="N16" s="105"/>
      <c r="O16" s="105"/>
      <c r="P16" s="105"/>
      <c r="Q16" s="133"/>
      <c r="R16" s="133"/>
      <c r="S16" s="133"/>
      <c r="T16" s="133"/>
      <c r="U16" s="133"/>
      <c r="V16" s="133"/>
      <c r="W16" s="133"/>
      <c r="X16" s="133"/>
      <c r="Y16" s="101"/>
      <c r="AA16" s="106"/>
      <c r="AB16" s="107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</row>
    <row r="17" spans="1:40" ht="12.95" customHeight="1">
      <c r="B17" s="99"/>
      <c r="C17" s="101"/>
      <c r="D17" s="101"/>
      <c r="E17" s="362" t="s">
        <v>293</v>
      </c>
      <c r="F17" s="302" t="s">
        <v>294</v>
      </c>
      <c r="G17" s="173">
        <f>ROUND(5.6*A8/1000,1)</f>
        <v>1.5</v>
      </c>
      <c r="H17" s="353"/>
      <c r="I17" s="129"/>
      <c r="J17" s="105"/>
      <c r="K17" s="105"/>
      <c r="L17" s="105"/>
      <c r="M17" s="105"/>
      <c r="N17" s="105"/>
      <c r="O17" s="105"/>
      <c r="P17" s="105"/>
      <c r="Q17" s="92"/>
      <c r="R17" s="92"/>
      <c r="S17" s="92"/>
      <c r="T17" s="92"/>
      <c r="U17" s="92"/>
      <c r="V17" s="92"/>
      <c r="W17" s="92"/>
      <c r="X17" s="92"/>
      <c r="Y17" s="101"/>
      <c r="AA17" s="106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</row>
    <row r="18" spans="1:40" ht="12.95" customHeight="1">
      <c r="B18" s="99"/>
      <c r="C18" s="101"/>
      <c r="D18" s="101"/>
      <c r="E18" s="363"/>
      <c r="F18" s="364" t="s">
        <v>295</v>
      </c>
      <c r="G18" s="177">
        <f>ROUND(35*A8/1000,0)</f>
        <v>9</v>
      </c>
      <c r="H18" s="350"/>
      <c r="I18" s="196"/>
      <c r="J18" s="105"/>
      <c r="K18" s="105"/>
      <c r="L18" s="105"/>
      <c r="M18" s="105"/>
      <c r="N18" s="105"/>
      <c r="O18" s="105"/>
      <c r="P18" s="310"/>
      <c r="Q18" s="101"/>
      <c r="R18" s="101"/>
      <c r="S18" s="101"/>
      <c r="T18" s="101"/>
      <c r="U18" s="101"/>
      <c r="V18" s="101"/>
      <c r="W18" s="101"/>
      <c r="X18" s="101"/>
      <c r="Y18" s="101"/>
      <c r="AA18" s="106"/>
      <c r="AB18" s="107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</row>
    <row r="19" spans="1:40" ht="12.95" customHeight="1">
      <c r="B19" s="132"/>
      <c r="C19" s="133"/>
      <c r="D19" s="133"/>
      <c r="E19" s="365"/>
      <c r="F19" s="366" t="s">
        <v>296</v>
      </c>
      <c r="G19" s="177">
        <f>9*A8/1000</f>
        <v>2.4209999999999998</v>
      </c>
      <c r="H19" s="311"/>
      <c r="I19" s="252"/>
      <c r="J19" s="137"/>
      <c r="K19" s="137"/>
      <c r="L19" s="137"/>
      <c r="M19" s="137"/>
      <c r="N19" s="137"/>
      <c r="O19" s="137"/>
      <c r="P19" s="313"/>
      <c r="Q19" s="133"/>
      <c r="R19" s="133"/>
      <c r="S19" s="133"/>
      <c r="T19" s="133"/>
      <c r="U19" s="133"/>
      <c r="V19" s="133"/>
      <c r="W19" s="133"/>
      <c r="X19" s="133"/>
      <c r="Y19" s="133"/>
      <c r="AA19" s="106"/>
      <c r="AB19" s="107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</row>
    <row r="20" spans="1:40" s="145" customFormat="1" ht="12.75" customHeight="1">
      <c r="A20" s="164"/>
      <c r="B20" s="314" t="s">
        <v>122</v>
      </c>
      <c r="C20" s="315"/>
      <c r="D20" s="316"/>
      <c r="E20" s="142" t="s">
        <v>139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AA20" s="146"/>
      <c r="AB20" s="62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</row>
    <row r="21" spans="1:40" ht="12.95" customHeight="1">
      <c r="A21" s="147">
        <v>269</v>
      </c>
      <c r="B21" s="90">
        <v>43949</v>
      </c>
      <c r="C21" s="92" t="s">
        <v>31</v>
      </c>
      <c r="D21" s="92" t="s">
        <v>140</v>
      </c>
      <c r="E21" s="93" t="s">
        <v>283</v>
      </c>
      <c r="F21" s="297" t="s">
        <v>284</v>
      </c>
      <c r="G21" s="116">
        <v>14</v>
      </c>
      <c r="H21" s="297" t="s">
        <v>285</v>
      </c>
      <c r="I21" s="116">
        <f>ROUND(20*A21/1000,0)</f>
        <v>5</v>
      </c>
      <c r="J21" s="96">
        <v>5.5</v>
      </c>
      <c r="K21" s="96">
        <v>1.6</v>
      </c>
      <c r="L21" s="96">
        <v>1</v>
      </c>
      <c r="M21" s="96">
        <v>2</v>
      </c>
      <c r="N21" s="96">
        <v>0</v>
      </c>
      <c r="O21" s="96">
        <v>2.8</v>
      </c>
      <c r="P21" s="96">
        <f>J21*70+K21*55+M21*25+N21*60+O21*45</f>
        <v>649</v>
      </c>
      <c r="Q21" s="92" t="s">
        <v>89</v>
      </c>
      <c r="R21" s="92" t="s">
        <v>89</v>
      </c>
      <c r="S21" s="92" t="s">
        <v>89</v>
      </c>
      <c r="T21" s="92" t="s">
        <v>89</v>
      </c>
      <c r="U21" s="92" t="s">
        <v>89</v>
      </c>
      <c r="V21" s="92" t="s">
        <v>89</v>
      </c>
      <c r="W21" s="92" t="s">
        <v>89</v>
      </c>
      <c r="X21" s="92" t="s">
        <v>89</v>
      </c>
      <c r="Y21" s="92"/>
      <c r="AA21" s="106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</row>
    <row r="22" spans="1:40" ht="12.95" customHeight="1">
      <c r="A22" s="150"/>
      <c r="B22" s="99"/>
      <c r="C22" s="101"/>
      <c r="D22" s="101"/>
      <c r="E22" s="102"/>
      <c r="F22" s="53" t="s">
        <v>258</v>
      </c>
      <c r="G22" s="120">
        <f>ROUND(14*A21/1000,0)</f>
        <v>4</v>
      </c>
      <c r="H22" s="53" t="s">
        <v>286</v>
      </c>
      <c r="I22" s="255" t="s">
        <v>287</v>
      </c>
      <c r="J22" s="105"/>
      <c r="K22" s="105"/>
      <c r="L22" s="81"/>
      <c r="M22" s="81"/>
      <c r="N22" s="81"/>
      <c r="O22" s="105"/>
      <c r="P22" s="105"/>
      <c r="Q22" s="101"/>
      <c r="R22" s="101"/>
      <c r="S22" s="101"/>
      <c r="T22" s="101"/>
      <c r="U22" s="101"/>
      <c r="V22" s="101"/>
      <c r="W22" s="101"/>
      <c r="X22" s="101"/>
      <c r="Y22" s="100"/>
      <c r="AA22" s="106"/>
      <c r="AB22" s="107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</row>
    <row r="23" spans="1:40" ht="12.95" customHeight="1">
      <c r="A23" s="150"/>
      <c r="B23" s="99"/>
      <c r="C23" s="101"/>
      <c r="D23" s="101"/>
      <c r="E23" s="108"/>
      <c r="F23" s="51"/>
      <c r="G23" s="122"/>
      <c r="H23" s="51"/>
      <c r="I23" s="122"/>
      <c r="J23" s="105"/>
      <c r="K23" s="105"/>
      <c r="L23" s="81"/>
      <c r="M23" s="81"/>
      <c r="N23" s="81"/>
      <c r="O23" s="105"/>
      <c r="P23" s="105"/>
      <c r="Q23" s="133"/>
      <c r="R23" s="133"/>
      <c r="S23" s="133"/>
      <c r="T23" s="133"/>
      <c r="U23" s="133"/>
      <c r="V23" s="133"/>
      <c r="W23" s="133"/>
      <c r="X23" s="133"/>
      <c r="Y23" s="100"/>
      <c r="AA23" s="106"/>
      <c r="AB23" s="107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</row>
    <row r="24" spans="1:40" ht="12.95" customHeight="1">
      <c r="A24" s="150"/>
      <c r="B24" s="99"/>
      <c r="C24" s="101"/>
      <c r="D24" s="101"/>
      <c r="E24" s="93" t="s">
        <v>410</v>
      </c>
      <c r="F24" s="367" t="s">
        <v>185</v>
      </c>
      <c r="G24" s="368">
        <f>ROUND(46.9*A21/1000,0)</f>
        <v>13</v>
      </c>
      <c r="H24" s="369" t="s">
        <v>186</v>
      </c>
      <c r="I24" s="368">
        <f>ROUND(1*A21/1000,1)</f>
        <v>0.3</v>
      </c>
      <c r="J24" s="105"/>
      <c r="K24" s="105"/>
      <c r="L24" s="81"/>
      <c r="M24" s="81"/>
      <c r="N24" s="81"/>
      <c r="O24" s="105"/>
      <c r="P24" s="105"/>
      <c r="Q24" s="92"/>
      <c r="R24" s="92"/>
      <c r="S24" s="92"/>
      <c r="T24" s="92"/>
      <c r="U24" s="92"/>
      <c r="V24" s="92"/>
      <c r="W24" s="92"/>
      <c r="X24" s="92"/>
      <c r="Y24" s="100"/>
      <c r="AA24" s="117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</row>
    <row r="25" spans="1:40" ht="12.95" customHeight="1">
      <c r="A25" s="150"/>
      <c r="B25" s="99"/>
      <c r="C25" s="101"/>
      <c r="D25" s="101"/>
      <c r="E25" s="102"/>
      <c r="F25" s="370" t="s">
        <v>235</v>
      </c>
      <c r="G25" s="368">
        <v>21</v>
      </c>
      <c r="H25" s="371" t="s">
        <v>405</v>
      </c>
      <c r="I25" s="196">
        <v>3</v>
      </c>
      <c r="J25" s="105"/>
      <c r="K25" s="105"/>
      <c r="L25" s="81"/>
      <c r="M25" s="81"/>
      <c r="N25" s="81"/>
      <c r="O25" s="105"/>
      <c r="P25" s="105"/>
      <c r="Q25" s="101"/>
      <c r="R25" s="101"/>
      <c r="S25" s="101"/>
      <c r="T25" s="101"/>
      <c r="U25" s="101"/>
      <c r="V25" s="101"/>
      <c r="W25" s="101"/>
      <c r="X25" s="101"/>
      <c r="Y25" s="100"/>
      <c r="AA25" s="117"/>
      <c r="AB25" s="107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</row>
    <row r="26" spans="1:40" ht="12.95" customHeight="1">
      <c r="A26" s="150"/>
      <c r="B26" s="99"/>
      <c r="C26" s="101"/>
      <c r="D26" s="101"/>
      <c r="E26" s="108"/>
      <c r="F26" s="372" t="s">
        <v>187</v>
      </c>
      <c r="G26" s="373">
        <f>ROUND(6.7*A21/1000,0)</f>
        <v>2</v>
      </c>
      <c r="H26" s="311"/>
      <c r="I26" s="311"/>
      <c r="J26" s="105"/>
      <c r="K26" s="105"/>
      <c r="L26" s="81"/>
      <c r="M26" s="81"/>
      <c r="N26" s="81"/>
      <c r="O26" s="105"/>
      <c r="P26" s="105"/>
      <c r="Q26" s="133"/>
      <c r="R26" s="133"/>
      <c r="S26" s="133"/>
      <c r="T26" s="133"/>
      <c r="U26" s="133"/>
      <c r="V26" s="133"/>
      <c r="W26" s="133"/>
      <c r="X26" s="133"/>
      <c r="Y26" s="100"/>
      <c r="AA26" s="117"/>
      <c r="AB26" s="107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</row>
    <row r="27" spans="1:40" ht="12.95" customHeight="1">
      <c r="A27" s="150"/>
      <c r="B27" s="99"/>
      <c r="C27" s="101"/>
      <c r="D27" s="101"/>
      <c r="E27" s="93" t="s">
        <v>246</v>
      </c>
      <c r="F27" s="305" t="s">
        <v>133</v>
      </c>
      <c r="G27" s="124">
        <v>22</v>
      </c>
      <c r="H27" s="50"/>
      <c r="I27" s="157"/>
      <c r="J27" s="105"/>
      <c r="K27" s="105"/>
      <c r="L27" s="81"/>
      <c r="M27" s="81"/>
      <c r="N27" s="81"/>
      <c r="O27" s="105"/>
      <c r="P27" s="105"/>
      <c r="Q27" s="92" t="s">
        <v>89</v>
      </c>
      <c r="R27" s="92" t="s">
        <v>89</v>
      </c>
      <c r="S27" s="92" t="s">
        <v>89</v>
      </c>
      <c r="T27" s="92" t="s">
        <v>89</v>
      </c>
      <c r="U27" s="92" t="s">
        <v>89</v>
      </c>
      <c r="V27" s="92" t="s">
        <v>89</v>
      </c>
      <c r="W27" s="92" t="s">
        <v>89</v>
      </c>
      <c r="X27" s="92" t="s">
        <v>89</v>
      </c>
      <c r="Y27" s="100"/>
      <c r="AA27" s="106"/>
      <c r="AB27" s="107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</row>
    <row r="28" spans="1:40" ht="12.95" customHeight="1">
      <c r="A28" s="150"/>
      <c r="B28" s="99"/>
      <c r="C28" s="101"/>
      <c r="D28" s="101"/>
      <c r="E28" s="102"/>
      <c r="F28" s="148" t="s">
        <v>121</v>
      </c>
      <c r="G28" s="135" t="s">
        <v>249</v>
      </c>
      <c r="H28" s="322"/>
      <c r="I28" s="131"/>
      <c r="J28" s="105"/>
      <c r="K28" s="105"/>
      <c r="L28" s="81"/>
      <c r="M28" s="81"/>
      <c r="N28" s="81"/>
      <c r="O28" s="105"/>
      <c r="P28" s="105"/>
      <c r="Q28" s="101"/>
      <c r="R28" s="101"/>
      <c r="S28" s="101"/>
      <c r="T28" s="101"/>
      <c r="U28" s="101"/>
      <c r="V28" s="101"/>
      <c r="W28" s="101"/>
      <c r="X28" s="101"/>
      <c r="Y28" s="100"/>
      <c r="AA28" s="106"/>
      <c r="AB28" s="107"/>
      <c r="AC28" s="265"/>
      <c r="AJ28" s="233"/>
      <c r="AK28" s="233"/>
      <c r="AL28" s="233"/>
      <c r="AM28" s="233"/>
      <c r="AN28" s="233"/>
    </row>
    <row r="29" spans="1:40" ht="12.95" customHeight="1">
      <c r="A29" s="150"/>
      <c r="B29" s="99"/>
      <c r="C29" s="101"/>
      <c r="D29" s="101"/>
      <c r="E29" s="108"/>
      <c r="F29" s="51"/>
      <c r="G29" s="122"/>
      <c r="H29" s="323"/>
      <c r="I29" s="136"/>
      <c r="J29" s="105"/>
      <c r="K29" s="105"/>
      <c r="L29" s="81"/>
      <c r="M29" s="81"/>
      <c r="N29" s="81"/>
      <c r="O29" s="105"/>
      <c r="P29" s="105"/>
      <c r="Q29" s="133"/>
      <c r="R29" s="133"/>
      <c r="S29" s="133"/>
      <c r="T29" s="133"/>
      <c r="U29" s="133"/>
      <c r="V29" s="133"/>
      <c r="W29" s="133"/>
      <c r="X29" s="133"/>
      <c r="Y29" s="100"/>
      <c r="AA29" s="106"/>
      <c r="AB29" s="107"/>
      <c r="AC29" s="265"/>
      <c r="AJ29" s="233"/>
      <c r="AK29" s="233"/>
      <c r="AL29" s="233"/>
      <c r="AM29" s="233"/>
      <c r="AN29" s="233"/>
    </row>
    <row r="30" spans="1:40" ht="12.95" customHeight="1">
      <c r="A30" s="150"/>
      <c r="B30" s="99"/>
      <c r="C30" s="101"/>
      <c r="D30" s="101"/>
      <c r="E30" s="93" t="s">
        <v>210</v>
      </c>
      <c r="F30" s="306" t="s">
        <v>211</v>
      </c>
      <c r="G30" s="159">
        <f>ROUND(80*A21/1000,0)</f>
        <v>22</v>
      </c>
      <c r="H30" s="353"/>
      <c r="I30" s="159"/>
      <c r="J30" s="105"/>
      <c r="K30" s="105"/>
      <c r="L30" s="81"/>
      <c r="M30" s="81"/>
      <c r="N30" s="81"/>
      <c r="O30" s="105"/>
      <c r="P30" s="105"/>
      <c r="Q30" s="92" t="s">
        <v>89</v>
      </c>
      <c r="R30" s="92" t="s">
        <v>89</v>
      </c>
      <c r="S30" s="92" t="s">
        <v>89</v>
      </c>
      <c r="T30" s="92" t="s">
        <v>89</v>
      </c>
      <c r="U30" s="92" t="s">
        <v>89</v>
      </c>
      <c r="V30" s="92" t="s">
        <v>89</v>
      </c>
      <c r="W30" s="92" t="s">
        <v>89</v>
      </c>
      <c r="X30" s="92" t="s">
        <v>89</v>
      </c>
      <c r="Y30" s="100"/>
      <c r="AA30" s="106"/>
      <c r="AB30" s="107"/>
      <c r="AC30" s="265"/>
      <c r="AD30" s="265"/>
      <c r="AE30" s="265"/>
      <c r="AF30" s="265"/>
      <c r="AG30" s="265"/>
      <c r="AJ30" s="233"/>
      <c r="AK30" s="233"/>
      <c r="AL30" s="233"/>
      <c r="AM30" s="233"/>
      <c r="AN30" s="233"/>
    </row>
    <row r="31" spans="1:40" ht="12.95" customHeight="1">
      <c r="A31" s="150"/>
      <c r="B31" s="99"/>
      <c r="C31" s="101"/>
      <c r="D31" s="101"/>
      <c r="E31" s="81"/>
      <c r="F31" s="308" t="s">
        <v>212</v>
      </c>
      <c r="G31" s="114">
        <f>ROUND(19*A21/1000,0)</f>
        <v>5</v>
      </c>
      <c r="H31" s="350"/>
      <c r="I31" s="196"/>
      <c r="J31" s="105"/>
      <c r="K31" s="105"/>
      <c r="L31" s="81"/>
      <c r="M31" s="81"/>
      <c r="N31" s="81"/>
      <c r="O31" s="105"/>
      <c r="P31" s="105"/>
      <c r="Q31" s="101"/>
      <c r="R31" s="101"/>
      <c r="S31" s="101"/>
      <c r="T31" s="101"/>
      <c r="U31" s="101"/>
      <c r="V31" s="101"/>
      <c r="W31" s="101"/>
      <c r="X31" s="101"/>
      <c r="Y31" s="100"/>
      <c r="AA31" s="106"/>
      <c r="AB31" s="107"/>
      <c r="AC31" s="265"/>
      <c r="AD31" s="265"/>
      <c r="AE31" s="265"/>
      <c r="AF31" s="265"/>
      <c r="AG31" s="265"/>
      <c r="AJ31" s="233"/>
      <c r="AK31" s="233"/>
      <c r="AL31" s="233"/>
      <c r="AM31" s="233"/>
      <c r="AN31" s="233"/>
    </row>
    <row r="32" spans="1:40" ht="12.95" customHeight="1">
      <c r="A32" s="150"/>
      <c r="B32" s="132"/>
      <c r="C32" s="133"/>
      <c r="D32" s="133"/>
      <c r="E32" s="87"/>
      <c r="F32" s="311"/>
      <c r="G32" s="114"/>
      <c r="H32" s="311"/>
      <c r="I32" s="252"/>
      <c r="J32" s="137"/>
      <c r="K32" s="137"/>
      <c r="L32" s="87"/>
      <c r="M32" s="87"/>
      <c r="N32" s="87"/>
      <c r="O32" s="137"/>
      <c r="P32" s="137"/>
      <c r="Q32" s="133"/>
      <c r="R32" s="133"/>
      <c r="S32" s="133"/>
      <c r="T32" s="133"/>
      <c r="U32" s="133"/>
      <c r="V32" s="133"/>
      <c r="W32" s="133"/>
      <c r="X32" s="133"/>
      <c r="Y32" s="112"/>
      <c r="AA32" s="106"/>
      <c r="AB32" s="107"/>
      <c r="AC32" s="265"/>
      <c r="AD32" s="265"/>
      <c r="AE32" s="265"/>
      <c r="AF32" s="265"/>
      <c r="AG32" s="265"/>
      <c r="AJ32" s="233"/>
      <c r="AK32" s="233"/>
      <c r="AL32" s="233"/>
      <c r="AM32" s="233"/>
      <c r="AN32" s="233"/>
    </row>
    <row r="33" spans="1:40" s="145" customFormat="1" ht="12.95" customHeight="1">
      <c r="A33" s="164"/>
      <c r="B33" s="314" t="s">
        <v>122</v>
      </c>
      <c r="C33" s="315"/>
      <c r="D33" s="316"/>
      <c r="E33" s="317" t="s">
        <v>375</v>
      </c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9"/>
      <c r="AA33" s="169"/>
      <c r="AB33" s="107"/>
      <c r="AC33" s="265"/>
      <c r="AD33" s="265"/>
      <c r="AE33" s="265"/>
      <c r="AF33" s="265"/>
      <c r="AG33" s="265"/>
      <c r="AH33" s="58"/>
      <c r="AI33" s="58"/>
      <c r="AJ33" s="233"/>
      <c r="AK33" s="233"/>
      <c r="AL33" s="233"/>
      <c r="AM33" s="233"/>
      <c r="AN33" s="233"/>
    </row>
    <row r="34" spans="1:40" ht="12.95" customHeight="1">
      <c r="A34" s="147">
        <v>269</v>
      </c>
      <c r="B34" s="90">
        <v>43950</v>
      </c>
      <c r="C34" s="92" t="s">
        <v>33</v>
      </c>
      <c r="D34" s="374" t="s">
        <v>406</v>
      </c>
      <c r="E34" s="93" t="s">
        <v>277</v>
      </c>
      <c r="F34" s="297" t="s">
        <v>278</v>
      </c>
      <c r="G34" s="116">
        <f>ROUND(4.5*A34/1000,1)</f>
        <v>1.2</v>
      </c>
      <c r="H34" s="297" t="s">
        <v>243</v>
      </c>
      <c r="I34" s="116">
        <f>ROUND(7*A34/1000,0)</f>
        <v>2</v>
      </c>
      <c r="J34" s="96">
        <v>5.2</v>
      </c>
      <c r="K34" s="96">
        <v>1.8</v>
      </c>
      <c r="L34" s="96">
        <v>0</v>
      </c>
      <c r="M34" s="96">
        <v>1.3</v>
      </c>
      <c r="N34" s="96">
        <v>1</v>
      </c>
      <c r="O34" s="96">
        <v>2.5</v>
      </c>
      <c r="P34" s="96">
        <f>J34*70+K34*75+L34*120+M34*25+N34*60+O34*45</f>
        <v>704</v>
      </c>
      <c r="Q34" s="92"/>
      <c r="R34" s="92"/>
      <c r="S34" s="92"/>
      <c r="T34" s="92"/>
      <c r="U34" s="92"/>
      <c r="V34" s="92"/>
      <c r="W34" s="92"/>
      <c r="X34" s="92"/>
      <c r="Y34" s="92"/>
      <c r="AA34" s="106"/>
      <c r="AC34" s="265"/>
      <c r="AD34" s="265"/>
      <c r="AE34" s="265"/>
      <c r="AF34" s="265"/>
      <c r="AG34" s="265"/>
      <c r="AJ34" s="233"/>
      <c r="AK34" s="233"/>
      <c r="AL34" s="233"/>
      <c r="AM34" s="233"/>
      <c r="AN34" s="233"/>
    </row>
    <row r="35" spans="1:40" ht="12.95" customHeight="1">
      <c r="A35" s="150"/>
      <c r="B35" s="99"/>
      <c r="C35" s="101"/>
      <c r="D35" s="100"/>
      <c r="E35" s="81"/>
      <c r="F35" s="53" t="s">
        <v>279</v>
      </c>
      <c r="G35" s="120">
        <f>ROUND(20*A34/1000,0)</f>
        <v>5</v>
      </c>
      <c r="H35" s="53" t="s">
        <v>280</v>
      </c>
      <c r="I35" s="120">
        <f>ROUND(35*A34/1000,0)</f>
        <v>9</v>
      </c>
      <c r="J35" s="105"/>
      <c r="K35" s="105"/>
      <c r="L35" s="105"/>
      <c r="M35" s="105"/>
      <c r="N35" s="105"/>
      <c r="O35" s="105"/>
      <c r="P35" s="105"/>
      <c r="Q35" s="101"/>
      <c r="R35" s="101"/>
      <c r="S35" s="101"/>
      <c r="T35" s="101"/>
      <c r="U35" s="101"/>
      <c r="V35" s="101"/>
      <c r="W35" s="101"/>
      <c r="X35" s="101"/>
      <c r="Y35" s="101"/>
      <c r="AA35" s="106"/>
      <c r="AB35" s="107"/>
      <c r="AC35" s="265"/>
      <c r="AD35" s="265"/>
      <c r="AE35" s="265"/>
      <c r="AF35" s="265"/>
      <c r="AG35" s="265"/>
      <c r="AJ35" s="233"/>
      <c r="AK35" s="233"/>
      <c r="AL35" s="233"/>
      <c r="AM35" s="233"/>
      <c r="AN35" s="233"/>
    </row>
    <row r="36" spans="1:40" ht="12.95" customHeight="1">
      <c r="A36" s="150"/>
      <c r="B36" s="99"/>
      <c r="C36" s="101"/>
      <c r="D36" s="100"/>
      <c r="E36" s="87"/>
      <c r="F36" s="53" t="s">
        <v>258</v>
      </c>
      <c r="G36" s="120">
        <f>ROUND(15.5*A34/1000,0)</f>
        <v>4</v>
      </c>
      <c r="H36" s="51" t="s">
        <v>384</v>
      </c>
      <c r="I36" s="120">
        <v>1.8</v>
      </c>
      <c r="J36" s="105"/>
      <c r="K36" s="105"/>
      <c r="L36" s="105"/>
      <c r="M36" s="105"/>
      <c r="N36" s="105"/>
      <c r="O36" s="105"/>
      <c r="P36" s="105"/>
      <c r="Q36" s="101"/>
      <c r="R36" s="101"/>
      <c r="S36" s="101"/>
      <c r="T36" s="101"/>
      <c r="U36" s="101"/>
      <c r="V36" s="101"/>
      <c r="W36" s="101"/>
      <c r="X36" s="101"/>
      <c r="Y36" s="101"/>
      <c r="AB36" s="107"/>
      <c r="AC36" s="265"/>
      <c r="AD36" s="265"/>
      <c r="AE36" s="265"/>
      <c r="AF36" s="265"/>
      <c r="AG36" s="265"/>
    </row>
    <row r="37" spans="1:40" ht="12.95" customHeight="1">
      <c r="A37" s="150"/>
      <c r="B37" s="99"/>
      <c r="C37" s="101"/>
      <c r="D37" s="100"/>
      <c r="E37" s="93" t="s">
        <v>246</v>
      </c>
      <c r="F37" s="305" t="s">
        <v>133</v>
      </c>
      <c r="G37" s="124">
        <v>22</v>
      </c>
      <c r="I37" s="264"/>
      <c r="J37" s="105"/>
      <c r="K37" s="105"/>
      <c r="L37" s="105"/>
      <c r="M37" s="105"/>
      <c r="N37" s="105"/>
      <c r="O37" s="105"/>
      <c r="P37" s="105"/>
      <c r="Q37" s="92"/>
      <c r="R37" s="92"/>
      <c r="S37" s="92"/>
      <c r="T37" s="92"/>
      <c r="U37" s="92"/>
      <c r="V37" s="92"/>
      <c r="W37" s="92"/>
      <c r="X37" s="92"/>
      <c r="Y37" s="101"/>
      <c r="AA37" s="106"/>
      <c r="AB37" s="107"/>
      <c r="AC37" s="265"/>
    </row>
    <row r="38" spans="1:40" ht="12.95" customHeight="1">
      <c r="A38" s="150"/>
      <c r="B38" s="99"/>
      <c r="C38" s="101"/>
      <c r="D38" s="100"/>
      <c r="E38" s="102"/>
      <c r="F38" s="148" t="s">
        <v>121</v>
      </c>
      <c r="G38" s="135" t="s">
        <v>249</v>
      </c>
      <c r="H38" s="322"/>
      <c r="I38" s="131"/>
      <c r="J38" s="105"/>
      <c r="K38" s="105"/>
      <c r="L38" s="105"/>
      <c r="M38" s="105"/>
      <c r="N38" s="105"/>
      <c r="O38" s="105"/>
      <c r="P38" s="105"/>
      <c r="Q38" s="101"/>
      <c r="R38" s="101"/>
      <c r="S38" s="101"/>
      <c r="T38" s="101"/>
      <c r="U38" s="101"/>
      <c r="V38" s="101"/>
      <c r="W38" s="101"/>
      <c r="X38" s="101"/>
      <c r="Y38" s="101"/>
      <c r="AA38" s="106"/>
      <c r="AB38" s="107"/>
      <c r="AC38" s="265"/>
    </row>
    <row r="39" spans="1:40" ht="12.95" customHeight="1">
      <c r="A39" s="150"/>
      <c r="B39" s="99"/>
      <c r="C39" s="101"/>
      <c r="D39" s="100"/>
      <c r="E39" s="108"/>
      <c r="F39" s="51"/>
      <c r="G39" s="122"/>
      <c r="H39" s="323"/>
      <c r="I39" s="111"/>
      <c r="J39" s="105"/>
      <c r="K39" s="105"/>
      <c r="L39" s="105"/>
      <c r="M39" s="105"/>
      <c r="N39" s="105"/>
      <c r="O39" s="105"/>
      <c r="P39" s="105"/>
      <c r="Q39" s="133"/>
      <c r="R39" s="133"/>
      <c r="S39" s="133"/>
      <c r="T39" s="133"/>
      <c r="U39" s="133"/>
      <c r="V39" s="133"/>
      <c r="W39" s="133"/>
      <c r="X39" s="133"/>
      <c r="Y39" s="101"/>
      <c r="AA39" s="106"/>
      <c r="AC39" s="265"/>
    </row>
    <row r="40" spans="1:40" ht="12.95" customHeight="1">
      <c r="A40" s="150"/>
      <c r="B40" s="99"/>
      <c r="C40" s="101"/>
      <c r="D40" s="100"/>
      <c r="E40" s="93" t="s">
        <v>329</v>
      </c>
      <c r="F40" s="375" t="s">
        <v>166</v>
      </c>
      <c r="G40" s="120">
        <f>ROUND(24.4*A34/1000,0)</f>
        <v>7</v>
      </c>
      <c r="H40" s="376"/>
      <c r="I40" s="159"/>
      <c r="J40" s="105"/>
      <c r="K40" s="105"/>
      <c r="L40" s="105"/>
      <c r="M40" s="105"/>
      <c r="N40" s="105"/>
      <c r="O40" s="105"/>
      <c r="P40" s="105"/>
      <c r="Q40" s="327"/>
      <c r="R40" s="327"/>
      <c r="S40" s="327"/>
      <c r="T40" s="327"/>
      <c r="U40" s="327"/>
      <c r="V40" s="327"/>
      <c r="W40" s="327"/>
      <c r="X40" s="327"/>
      <c r="Y40" s="101"/>
      <c r="AA40" s="106"/>
      <c r="AC40" s="265"/>
    </row>
    <row r="41" spans="1:40" ht="12.95" customHeight="1">
      <c r="A41" s="150"/>
      <c r="B41" s="99"/>
      <c r="C41" s="101"/>
      <c r="D41" s="100"/>
      <c r="E41" s="81"/>
      <c r="F41" s="321" t="s">
        <v>167</v>
      </c>
      <c r="G41" s="120">
        <f>ROUND(18*A34/1000,1)</f>
        <v>4.8</v>
      </c>
      <c r="H41" s="54"/>
      <c r="I41" s="377"/>
      <c r="J41" s="105"/>
      <c r="K41" s="105"/>
      <c r="L41" s="105"/>
      <c r="M41" s="105"/>
      <c r="N41" s="105"/>
      <c r="O41" s="105"/>
      <c r="P41" s="105"/>
      <c r="Q41" s="327"/>
      <c r="R41" s="327"/>
      <c r="S41" s="327"/>
      <c r="T41" s="327"/>
      <c r="U41" s="327"/>
      <c r="V41" s="327"/>
      <c r="W41" s="327"/>
      <c r="X41" s="327"/>
      <c r="Y41" s="101"/>
      <c r="AA41" s="106"/>
      <c r="AB41" s="107"/>
      <c r="AC41" s="265"/>
    </row>
    <row r="42" spans="1:40" ht="12.95" customHeight="1">
      <c r="A42" s="150"/>
      <c r="B42" s="99"/>
      <c r="C42" s="101"/>
      <c r="D42" s="100"/>
      <c r="E42" s="87"/>
      <c r="F42" s="304"/>
      <c r="G42" s="122"/>
      <c r="H42" s="376"/>
      <c r="I42" s="377"/>
      <c r="J42" s="105"/>
      <c r="K42" s="105"/>
      <c r="L42" s="105"/>
      <c r="M42" s="105"/>
      <c r="N42" s="105"/>
      <c r="O42" s="105"/>
      <c r="P42" s="105"/>
      <c r="Q42" s="327"/>
      <c r="R42" s="327"/>
      <c r="S42" s="327"/>
      <c r="T42" s="327"/>
      <c r="U42" s="327"/>
      <c r="V42" s="327"/>
      <c r="W42" s="327"/>
      <c r="X42" s="327"/>
      <c r="Y42" s="101"/>
      <c r="AA42" s="106"/>
      <c r="AB42" s="107"/>
      <c r="AC42" s="265"/>
    </row>
    <row r="43" spans="1:40" ht="12.95" customHeight="1">
      <c r="A43" s="150"/>
      <c r="B43" s="99"/>
      <c r="C43" s="101"/>
      <c r="D43" s="100"/>
      <c r="E43" s="93" t="s">
        <v>304</v>
      </c>
      <c r="F43" s="148" t="s">
        <v>305</v>
      </c>
      <c r="G43" s="182" t="s">
        <v>306</v>
      </c>
      <c r="H43" s="378"/>
      <c r="I43" s="379"/>
      <c r="J43" s="105"/>
      <c r="K43" s="105"/>
      <c r="L43" s="105"/>
      <c r="M43" s="105"/>
      <c r="N43" s="105"/>
      <c r="O43" s="105"/>
      <c r="P43" s="105"/>
      <c r="Q43" s="92"/>
      <c r="R43" s="92"/>
      <c r="S43" s="92"/>
      <c r="T43" s="92"/>
      <c r="U43" s="92"/>
      <c r="V43" s="92"/>
      <c r="W43" s="92"/>
      <c r="X43" s="92"/>
      <c r="Y43" s="101"/>
      <c r="AA43" s="107"/>
      <c r="AB43" s="107"/>
      <c r="AC43" s="265"/>
    </row>
    <row r="44" spans="1:40" ht="12.95" customHeight="1">
      <c r="A44" s="150"/>
      <c r="B44" s="99"/>
      <c r="C44" s="101"/>
      <c r="D44" s="100"/>
      <c r="E44" s="183"/>
      <c r="F44" s="329"/>
      <c r="G44" s="185"/>
      <c r="H44" s="380"/>
      <c r="I44" s="381"/>
      <c r="J44" s="105"/>
      <c r="K44" s="105"/>
      <c r="L44" s="105"/>
      <c r="M44" s="105"/>
      <c r="N44" s="105"/>
      <c r="O44" s="105"/>
      <c r="P44" s="105"/>
      <c r="Q44" s="101"/>
      <c r="R44" s="101"/>
      <c r="S44" s="101"/>
      <c r="T44" s="101"/>
      <c r="U44" s="101"/>
      <c r="V44" s="101"/>
      <c r="W44" s="101"/>
      <c r="X44" s="101"/>
      <c r="Y44" s="101"/>
      <c r="AA44" s="107"/>
      <c r="AB44" s="107"/>
      <c r="AC44" s="265"/>
    </row>
    <row r="45" spans="1:40" ht="12.95" customHeight="1">
      <c r="A45" s="164"/>
      <c r="B45" s="132"/>
      <c r="C45" s="133"/>
      <c r="D45" s="112"/>
      <c r="E45" s="186"/>
      <c r="F45" s="331"/>
      <c r="G45" s="162"/>
      <c r="H45" s="382"/>
      <c r="I45" s="383"/>
      <c r="J45" s="137"/>
      <c r="K45" s="137"/>
      <c r="L45" s="137"/>
      <c r="M45" s="137"/>
      <c r="N45" s="137"/>
      <c r="O45" s="137"/>
      <c r="P45" s="137"/>
      <c r="Q45" s="133"/>
      <c r="R45" s="133"/>
      <c r="S45" s="133"/>
      <c r="T45" s="133"/>
      <c r="U45" s="133"/>
      <c r="V45" s="133"/>
      <c r="W45" s="133"/>
      <c r="X45" s="133"/>
      <c r="Y45" s="133"/>
      <c r="AA45" s="107"/>
      <c r="AB45" s="107"/>
      <c r="AC45" s="265"/>
      <c r="AJ45" s="265"/>
      <c r="AK45" s="265"/>
      <c r="AL45" s="265"/>
      <c r="AM45" s="265"/>
      <c r="AN45" s="265"/>
    </row>
    <row r="46" spans="1:40" ht="12.95" customHeight="1">
      <c r="A46" s="147"/>
      <c r="B46" s="314" t="s">
        <v>122</v>
      </c>
      <c r="C46" s="315"/>
      <c r="D46" s="316"/>
      <c r="E46" s="274" t="s">
        <v>125</v>
      </c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6"/>
      <c r="AA46" s="188"/>
      <c r="AB46" s="107"/>
      <c r="AJ46" s="265"/>
      <c r="AK46" s="265"/>
      <c r="AL46" s="265"/>
      <c r="AM46" s="265"/>
      <c r="AN46" s="265"/>
    </row>
    <row r="47" spans="1:40" s="145" customFormat="1" ht="12.95" customHeight="1">
      <c r="A47" s="147">
        <v>269</v>
      </c>
      <c r="B47" s="90">
        <v>43951</v>
      </c>
      <c r="C47" s="92" t="s">
        <v>34</v>
      </c>
      <c r="D47" s="92" t="s">
        <v>140</v>
      </c>
      <c r="E47" s="93" t="s">
        <v>292</v>
      </c>
      <c r="F47" s="297" t="s">
        <v>162</v>
      </c>
      <c r="G47" s="116">
        <f>ROUND(66*A47/1000,0)</f>
        <v>18</v>
      </c>
      <c r="H47" s="305" t="s">
        <v>207</v>
      </c>
      <c r="I47" s="384">
        <f>ROUND(0.5*A47/1000,1)</f>
        <v>0.1</v>
      </c>
      <c r="J47" s="96">
        <v>5.6</v>
      </c>
      <c r="K47" s="96">
        <v>3</v>
      </c>
      <c r="L47" s="96">
        <v>0</v>
      </c>
      <c r="M47" s="96">
        <v>2.1</v>
      </c>
      <c r="N47" s="96">
        <v>0</v>
      </c>
      <c r="O47" s="96">
        <v>2.5</v>
      </c>
      <c r="P47" s="96">
        <f>SUM(J47*70+K47*75+L47*120+M47*25+N47*60+O47*45)</f>
        <v>782</v>
      </c>
      <c r="Q47" s="92"/>
      <c r="R47" s="92"/>
      <c r="S47" s="92"/>
      <c r="T47" s="92"/>
      <c r="U47" s="92"/>
      <c r="V47" s="92"/>
      <c r="W47" s="92"/>
      <c r="X47" s="92"/>
      <c r="Y47" s="92" t="s">
        <v>127</v>
      </c>
      <c r="AA47" s="106"/>
      <c r="AB47" s="107"/>
      <c r="AC47" s="58"/>
      <c r="AD47" s="58"/>
      <c r="AE47" s="58"/>
      <c r="AF47" s="58"/>
      <c r="AG47" s="58"/>
      <c r="AH47" s="58"/>
      <c r="AI47" s="58"/>
      <c r="AJ47" s="265"/>
      <c r="AK47" s="265"/>
      <c r="AL47" s="265"/>
      <c r="AM47" s="265"/>
      <c r="AN47" s="265"/>
    </row>
    <row r="48" spans="1:40" ht="12.95" customHeight="1">
      <c r="A48" s="150"/>
      <c r="B48" s="99"/>
      <c r="C48" s="101"/>
      <c r="D48" s="101"/>
      <c r="E48" s="81"/>
      <c r="F48" s="53" t="s">
        <v>208</v>
      </c>
      <c r="G48" s="120">
        <f>ROUND(25*A47/1000,0)</f>
        <v>7</v>
      </c>
      <c r="H48" s="350"/>
      <c r="I48" s="114"/>
      <c r="J48" s="105"/>
      <c r="K48" s="105"/>
      <c r="L48" s="105"/>
      <c r="M48" s="105"/>
      <c r="N48" s="105"/>
      <c r="O48" s="105"/>
      <c r="P48" s="105"/>
      <c r="Q48" s="101"/>
      <c r="R48" s="101"/>
      <c r="S48" s="101"/>
      <c r="T48" s="101"/>
      <c r="U48" s="101"/>
      <c r="V48" s="101"/>
      <c r="W48" s="101"/>
      <c r="X48" s="101"/>
      <c r="Y48" s="101"/>
      <c r="AA48" s="107"/>
      <c r="AB48" s="207"/>
      <c r="AJ48" s="265"/>
      <c r="AK48" s="265"/>
      <c r="AL48" s="265"/>
      <c r="AM48" s="265"/>
      <c r="AN48" s="265"/>
    </row>
    <row r="49" spans="1:40" ht="12.95" customHeight="1">
      <c r="A49" s="150"/>
      <c r="B49" s="99"/>
      <c r="C49" s="101"/>
      <c r="D49" s="101"/>
      <c r="E49" s="87"/>
      <c r="F49" s="51" t="s">
        <v>209</v>
      </c>
      <c r="G49" s="385">
        <f>ROUND(10*A47/1000,1)</f>
        <v>2.7</v>
      </c>
      <c r="H49" s="386"/>
      <c r="I49" s="162"/>
      <c r="J49" s="105"/>
      <c r="K49" s="105"/>
      <c r="L49" s="105"/>
      <c r="M49" s="105"/>
      <c r="N49" s="105"/>
      <c r="O49" s="105"/>
      <c r="P49" s="105"/>
      <c r="Q49" s="133"/>
      <c r="R49" s="133"/>
      <c r="S49" s="133"/>
      <c r="T49" s="133"/>
      <c r="U49" s="133"/>
      <c r="V49" s="133"/>
      <c r="W49" s="133"/>
      <c r="X49" s="133"/>
      <c r="Y49" s="101"/>
      <c r="AA49" s="106"/>
      <c r="AB49" s="107"/>
      <c r="AJ49" s="265"/>
      <c r="AK49" s="265"/>
      <c r="AL49" s="265"/>
      <c r="AM49" s="265"/>
      <c r="AN49" s="265"/>
    </row>
    <row r="50" spans="1:40" ht="12.95" customHeight="1">
      <c r="A50" s="150"/>
      <c r="B50" s="99"/>
      <c r="C50" s="101"/>
      <c r="D50" s="101"/>
      <c r="E50" s="93" t="s">
        <v>150</v>
      </c>
      <c r="F50" s="347" t="s">
        <v>151</v>
      </c>
      <c r="G50" s="116">
        <f>ROUND(73.75*A47/1000,0)</f>
        <v>20</v>
      </c>
      <c r="H50" s="321"/>
      <c r="I50" s="120"/>
      <c r="J50" s="105"/>
      <c r="K50" s="105"/>
      <c r="L50" s="105"/>
      <c r="M50" s="105"/>
      <c r="N50" s="105"/>
      <c r="O50" s="105"/>
      <c r="P50" s="105"/>
      <c r="Q50" s="92"/>
      <c r="R50" s="92"/>
      <c r="S50" s="92"/>
      <c r="T50" s="92"/>
      <c r="U50" s="92"/>
      <c r="V50" s="92"/>
      <c r="W50" s="92"/>
      <c r="X50" s="92"/>
      <c r="Y50" s="101"/>
      <c r="AA50" s="106"/>
      <c r="AB50" s="107"/>
      <c r="AJ50" s="265"/>
      <c r="AK50" s="265"/>
      <c r="AL50" s="265"/>
      <c r="AM50" s="265"/>
      <c r="AN50" s="265"/>
    </row>
    <row r="51" spans="1:40" ht="12.95" customHeight="1">
      <c r="A51" s="150"/>
      <c r="B51" s="99"/>
      <c r="C51" s="101"/>
      <c r="D51" s="101"/>
      <c r="E51" s="102"/>
      <c r="F51" s="53" t="s">
        <v>149</v>
      </c>
      <c r="G51" s="120">
        <f>ROUND(3.8*A47/1000,0)</f>
        <v>1</v>
      </c>
      <c r="H51" s="387"/>
      <c r="I51" s="120"/>
      <c r="J51" s="105"/>
      <c r="K51" s="105"/>
      <c r="L51" s="105"/>
      <c r="M51" s="105"/>
      <c r="N51" s="105"/>
      <c r="O51" s="105"/>
      <c r="P51" s="105"/>
      <c r="Q51" s="101"/>
      <c r="R51" s="101"/>
      <c r="S51" s="101"/>
      <c r="T51" s="101"/>
      <c r="U51" s="101"/>
      <c r="V51" s="101"/>
      <c r="W51" s="101"/>
      <c r="X51" s="101"/>
      <c r="Y51" s="101"/>
      <c r="AA51" s="106"/>
      <c r="AB51" s="107"/>
      <c r="AJ51" s="265"/>
      <c r="AK51" s="265"/>
      <c r="AL51" s="265"/>
      <c r="AM51" s="265"/>
      <c r="AN51" s="265"/>
    </row>
    <row r="52" spans="1:40" ht="12.95" customHeight="1">
      <c r="A52" s="150"/>
      <c r="B52" s="99"/>
      <c r="C52" s="101"/>
      <c r="D52" s="101"/>
      <c r="E52" s="108"/>
      <c r="F52" s="324" t="s">
        <v>152</v>
      </c>
      <c r="G52" s="388">
        <f>ROUND(0.6*A47/1000,1)</f>
        <v>0.2</v>
      </c>
      <c r="H52" s="389"/>
      <c r="I52" s="122"/>
      <c r="J52" s="105"/>
      <c r="K52" s="105"/>
      <c r="L52" s="105"/>
      <c r="M52" s="105"/>
      <c r="N52" s="105"/>
      <c r="O52" s="105"/>
      <c r="P52" s="105"/>
      <c r="Q52" s="133"/>
      <c r="R52" s="133"/>
      <c r="S52" s="133"/>
      <c r="T52" s="133"/>
      <c r="U52" s="133"/>
      <c r="V52" s="133"/>
      <c r="W52" s="133"/>
      <c r="X52" s="133"/>
      <c r="Y52" s="101"/>
      <c r="AA52" s="106"/>
      <c r="AB52" s="107"/>
      <c r="AJ52" s="265"/>
      <c r="AK52" s="265"/>
      <c r="AL52" s="265"/>
      <c r="AM52" s="265"/>
      <c r="AN52" s="265"/>
    </row>
    <row r="53" spans="1:40" ht="12.95" customHeight="1">
      <c r="A53" s="150"/>
      <c r="B53" s="99"/>
      <c r="C53" s="101"/>
      <c r="D53" s="101"/>
      <c r="E53" s="93" t="s">
        <v>246</v>
      </c>
      <c r="F53" s="305" t="s">
        <v>133</v>
      </c>
      <c r="G53" s="124">
        <v>22</v>
      </c>
      <c r="H53" s="50"/>
      <c r="I53" s="157"/>
      <c r="J53" s="105"/>
      <c r="K53" s="105"/>
      <c r="L53" s="105"/>
      <c r="M53" s="105"/>
      <c r="N53" s="105"/>
      <c r="O53" s="105"/>
      <c r="P53" s="105"/>
      <c r="Q53" s="92"/>
      <c r="R53" s="92"/>
      <c r="S53" s="92"/>
      <c r="T53" s="92"/>
      <c r="U53" s="92"/>
      <c r="V53" s="92"/>
      <c r="W53" s="92"/>
      <c r="X53" s="92"/>
      <c r="Y53" s="101"/>
      <c r="AA53" s="107"/>
      <c r="AB53" s="107"/>
      <c r="AJ53" s="265"/>
      <c r="AK53" s="265"/>
      <c r="AL53" s="265"/>
      <c r="AM53" s="265"/>
      <c r="AN53" s="265"/>
    </row>
    <row r="54" spans="1:40" ht="12.95" customHeight="1">
      <c r="A54" s="150"/>
      <c r="B54" s="99"/>
      <c r="C54" s="101"/>
      <c r="D54" s="101"/>
      <c r="E54" s="102"/>
      <c r="F54" s="148" t="s">
        <v>121</v>
      </c>
      <c r="G54" s="135" t="s">
        <v>249</v>
      </c>
      <c r="H54" s="322"/>
      <c r="I54" s="131"/>
      <c r="J54" s="105"/>
      <c r="K54" s="105"/>
      <c r="L54" s="105"/>
      <c r="M54" s="105"/>
      <c r="N54" s="105"/>
      <c r="O54" s="105"/>
      <c r="P54" s="105"/>
      <c r="Q54" s="101"/>
      <c r="R54" s="101"/>
      <c r="S54" s="101"/>
      <c r="T54" s="101"/>
      <c r="U54" s="101"/>
      <c r="V54" s="101"/>
      <c r="W54" s="101"/>
      <c r="X54" s="101"/>
      <c r="Y54" s="101"/>
      <c r="AA54" s="107"/>
      <c r="AB54" s="107"/>
      <c r="AJ54" s="265"/>
      <c r="AK54" s="265"/>
      <c r="AL54" s="265"/>
      <c r="AM54" s="265"/>
      <c r="AN54" s="265"/>
    </row>
    <row r="55" spans="1:40" ht="12.95" customHeight="1">
      <c r="A55" s="150"/>
      <c r="B55" s="99"/>
      <c r="C55" s="101"/>
      <c r="D55" s="101"/>
      <c r="E55" s="108"/>
      <c r="F55" s="51"/>
      <c r="G55" s="122"/>
      <c r="H55" s="323"/>
      <c r="I55" s="136"/>
      <c r="J55" s="105"/>
      <c r="K55" s="105"/>
      <c r="L55" s="105"/>
      <c r="M55" s="105"/>
      <c r="N55" s="105"/>
      <c r="O55" s="105"/>
      <c r="P55" s="105"/>
      <c r="Q55" s="133"/>
      <c r="R55" s="133"/>
      <c r="S55" s="133"/>
      <c r="T55" s="133"/>
      <c r="U55" s="133"/>
      <c r="V55" s="133"/>
      <c r="W55" s="133"/>
      <c r="X55" s="133"/>
      <c r="Y55" s="101"/>
      <c r="AA55" s="106"/>
      <c r="AB55" s="107"/>
      <c r="AJ55" s="265"/>
      <c r="AK55" s="265"/>
      <c r="AL55" s="265"/>
      <c r="AM55" s="265"/>
      <c r="AN55" s="265"/>
    </row>
    <row r="56" spans="1:40" ht="12.95" customHeight="1">
      <c r="A56" s="150"/>
      <c r="B56" s="99"/>
      <c r="C56" s="101"/>
      <c r="D56" s="101"/>
      <c r="E56" s="93" t="s">
        <v>282</v>
      </c>
      <c r="F56" s="306" t="s">
        <v>191</v>
      </c>
      <c r="G56" s="114">
        <f>ROUND(45*A47/1000,0)</f>
        <v>12</v>
      </c>
      <c r="H56" s="306"/>
      <c r="I56" s="159"/>
      <c r="J56" s="105"/>
      <c r="K56" s="105"/>
      <c r="L56" s="105"/>
      <c r="M56" s="105"/>
      <c r="N56" s="105"/>
      <c r="O56" s="105"/>
      <c r="P56" s="105"/>
      <c r="Q56" s="92"/>
      <c r="R56" s="92"/>
      <c r="S56" s="92"/>
      <c r="T56" s="92"/>
      <c r="U56" s="92"/>
      <c r="V56" s="92"/>
      <c r="W56" s="92"/>
      <c r="X56" s="92"/>
      <c r="Y56" s="101"/>
      <c r="AA56" s="106"/>
      <c r="AB56" s="390"/>
      <c r="AJ56" s="265"/>
      <c r="AK56" s="265"/>
      <c r="AL56" s="265"/>
      <c r="AM56" s="265"/>
      <c r="AN56" s="265"/>
    </row>
    <row r="57" spans="1:40" ht="12.95" customHeight="1">
      <c r="A57" s="150"/>
      <c r="B57" s="99"/>
      <c r="C57" s="101"/>
      <c r="D57" s="101"/>
      <c r="E57" s="81"/>
      <c r="F57" s="308" t="s">
        <v>192</v>
      </c>
      <c r="G57" s="212">
        <f>ROUND(0.5*A47/1000,1)</f>
        <v>0.1</v>
      </c>
      <c r="H57" s="391"/>
      <c r="I57" s="114"/>
      <c r="J57" s="105"/>
      <c r="K57" s="105"/>
      <c r="L57" s="105"/>
      <c r="M57" s="105"/>
      <c r="N57" s="105"/>
      <c r="O57" s="105"/>
      <c r="P57" s="105"/>
      <c r="Q57" s="101"/>
      <c r="R57" s="101"/>
      <c r="S57" s="101"/>
      <c r="T57" s="101"/>
      <c r="U57" s="101"/>
      <c r="V57" s="101"/>
      <c r="W57" s="101"/>
      <c r="X57" s="101"/>
      <c r="Y57" s="101"/>
      <c r="AA57" s="106"/>
      <c r="AB57" s="390"/>
      <c r="AJ57" s="265"/>
      <c r="AK57" s="265"/>
      <c r="AL57" s="265"/>
      <c r="AM57" s="265"/>
      <c r="AN57" s="265"/>
    </row>
    <row r="58" spans="1:40" ht="12.95" customHeight="1">
      <c r="A58" s="164"/>
      <c r="B58" s="99"/>
      <c r="C58" s="101"/>
      <c r="D58" s="133"/>
      <c r="E58" s="87"/>
      <c r="F58" s="308" t="s">
        <v>193</v>
      </c>
      <c r="G58" s="114">
        <f>ROUND(10*A47/1000,0)</f>
        <v>3</v>
      </c>
      <c r="H58" s="331"/>
      <c r="I58" s="162"/>
      <c r="J58" s="137"/>
      <c r="K58" s="137"/>
      <c r="L58" s="137"/>
      <c r="M58" s="137"/>
      <c r="N58" s="137"/>
      <c r="O58" s="137"/>
      <c r="P58" s="137"/>
      <c r="Q58" s="101"/>
      <c r="R58" s="101"/>
      <c r="S58" s="101"/>
      <c r="T58" s="101"/>
      <c r="U58" s="101"/>
      <c r="V58" s="101"/>
      <c r="W58" s="101"/>
      <c r="X58" s="101"/>
      <c r="Y58" s="101"/>
      <c r="AA58" s="106"/>
      <c r="AB58" s="107"/>
      <c r="AJ58" s="265"/>
      <c r="AK58" s="265"/>
      <c r="AL58" s="265"/>
      <c r="AM58" s="265"/>
      <c r="AN58" s="265"/>
    </row>
    <row r="59" spans="1:40" ht="12.95" customHeight="1">
      <c r="A59" s="147"/>
      <c r="B59" s="314" t="s">
        <v>128</v>
      </c>
      <c r="C59" s="315"/>
      <c r="D59" s="316"/>
      <c r="E59" s="142" t="s">
        <v>376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8"/>
      <c r="AA59" s="204"/>
      <c r="AB59" s="107"/>
      <c r="AJ59" s="265"/>
      <c r="AK59" s="265"/>
      <c r="AL59" s="265"/>
      <c r="AM59" s="265"/>
      <c r="AN59" s="265"/>
    </row>
    <row r="60" spans="1:40" s="145" customFormat="1" ht="12.95" customHeight="1">
      <c r="A60" s="147">
        <v>269</v>
      </c>
      <c r="B60" s="343">
        <v>43952</v>
      </c>
      <c r="C60" s="283" t="s">
        <v>35</v>
      </c>
      <c r="D60" s="92" t="s">
        <v>335</v>
      </c>
      <c r="E60" s="93" t="s">
        <v>331</v>
      </c>
      <c r="F60" s="353" t="s">
        <v>332</v>
      </c>
      <c r="G60" s="392">
        <f>ROUND(55*A60/1000,0)</f>
        <v>15</v>
      </c>
      <c r="H60" s="306"/>
      <c r="I60" s="159"/>
      <c r="J60" s="393"/>
      <c r="K60" s="394"/>
      <c r="L60" s="393"/>
      <c r="M60" s="393"/>
      <c r="N60" s="393"/>
      <c r="O60" s="394"/>
      <c r="P60" s="393"/>
      <c r="Q60" s="73"/>
      <c r="R60" s="92"/>
      <c r="S60" s="92"/>
      <c r="T60" s="92"/>
      <c r="U60" s="92"/>
      <c r="V60" s="92"/>
      <c r="W60" s="92"/>
      <c r="X60" s="92"/>
      <c r="Y60" s="344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265"/>
      <c r="AK60" s="265"/>
      <c r="AL60" s="265"/>
      <c r="AM60" s="265"/>
      <c r="AN60" s="265"/>
    </row>
    <row r="61" spans="1:40" ht="12.95" customHeight="1">
      <c r="A61" s="150"/>
      <c r="B61" s="345"/>
      <c r="C61" s="287"/>
      <c r="D61" s="101"/>
      <c r="E61" s="81"/>
      <c r="F61" s="350" t="s">
        <v>333</v>
      </c>
      <c r="G61" s="196">
        <f>ROUND(15*A60/1000,0)</f>
        <v>4</v>
      </c>
      <c r="H61" s="308"/>
      <c r="I61" s="114"/>
      <c r="J61" s="395"/>
      <c r="K61" s="396"/>
      <c r="L61" s="395"/>
      <c r="M61" s="395"/>
      <c r="N61" s="395"/>
      <c r="O61" s="396"/>
      <c r="P61" s="395"/>
      <c r="Q61" s="79"/>
      <c r="R61" s="101"/>
      <c r="S61" s="101"/>
      <c r="T61" s="101"/>
      <c r="U61" s="101"/>
      <c r="V61" s="101"/>
      <c r="W61" s="101"/>
      <c r="X61" s="101"/>
      <c r="Y61" s="346"/>
      <c r="AB61" s="107"/>
      <c r="AJ61" s="265"/>
      <c r="AK61" s="265"/>
      <c r="AL61" s="265"/>
      <c r="AM61" s="265"/>
      <c r="AN61" s="265"/>
    </row>
    <row r="62" spans="1:40" ht="12.95" customHeight="1">
      <c r="A62" s="150"/>
      <c r="B62" s="345"/>
      <c r="C62" s="287"/>
      <c r="D62" s="101"/>
      <c r="E62" s="87"/>
      <c r="F62" s="311" t="s">
        <v>334</v>
      </c>
      <c r="G62" s="162">
        <f>ROUND(37*A60/1000,0)</f>
        <v>10</v>
      </c>
      <c r="H62" s="331"/>
      <c r="I62" s="162"/>
      <c r="J62" s="395"/>
      <c r="K62" s="396"/>
      <c r="L62" s="395"/>
      <c r="M62" s="395"/>
      <c r="N62" s="395"/>
      <c r="O62" s="396"/>
      <c r="P62" s="395"/>
      <c r="Q62" s="86"/>
      <c r="R62" s="133"/>
      <c r="S62" s="133"/>
      <c r="T62" s="133"/>
      <c r="U62" s="133"/>
      <c r="V62" s="133"/>
      <c r="W62" s="133"/>
      <c r="X62" s="133"/>
      <c r="Y62" s="346"/>
      <c r="AA62" s="58"/>
      <c r="AB62" s="58"/>
      <c r="AJ62" s="265"/>
      <c r="AK62" s="265"/>
      <c r="AL62" s="265"/>
      <c r="AM62" s="265"/>
      <c r="AN62" s="265"/>
    </row>
    <row r="63" spans="1:40" ht="12.95" customHeight="1">
      <c r="A63" s="150"/>
      <c r="B63" s="345"/>
      <c r="C63" s="287"/>
      <c r="D63" s="101"/>
      <c r="E63" s="93" t="s">
        <v>297</v>
      </c>
      <c r="F63" s="347" t="s">
        <v>224</v>
      </c>
      <c r="G63" s="116">
        <f>ROUND(75*A60/1000,0)</f>
        <v>20</v>
      </c>
      <c r="H63" s="397"/>
      <c r="I63" s="398"/>
      <c r="J63" s="395"/>
      <c r="K63" s="396"/>
      <c r="L63" s="395"/>
      <c r="M63" s="395"/>
      <c r="N63" s="395"/>
      <c r="O63" s="396"/>
      <c r="P63" s="395"/>
      <c r="Q63" s="92"/>
      <c r="R63" s="92"/>
      <c r="S63" s="92"/>
      <c r="T63" s="92"/>
      <c r="U63" s="92"/>
      <c r="V63" s="92"/>
      <c r="W63" s="92"/>
      <c r="X63" s="92"/>
      <c r="Y63" s="346"/>
      <c r="AA63" s="106"/>
      <c r="AB63" s="107"/>
      <c r="AC63" s="265"/>
      <c r="AJ63" s="265"/>
      <c r="AK63" s="265"/>
      <c r="AL63" s="265"/>
      <c r="AM63" s="265"/>
      <c r="AN63" s="265"/>
    </row>
    <row r="64" spans="1:40" ht="12.95" customHeight="1">
      <c r="A64" s="150"/>
      <c r="B64" s="345"/>
      <c r="C64" s="287"/>
      <c r="D64" s="101"/>
      <c r="E64" s="102"/>
      <c r="F64" s="53" t="s">
        <v>225</v>
      </c>
      <c r="G64" s="120">
        <f>ROUND(11*A60/1000,0)</f>
        <v>3</v>
      </c>
      <c r="H64" s="148"/>
      <c r="I64" s="55"/>
      <c r="J64" s="395"/>
      <c r="K64" s="396"/>
      <c r="L64" s="395"/>
      <c r="M64" s="395"/>
      <c r="N64" s="395"/>
      <c r="O64" s="396"/>
      <c r="P64" s="395"/>
      <c r="Q64" s="101"/>
      <c r="R64" s="101"/>
      <c r="S64" s="101"/>
      <c r="T64" s="101"/>
      <c r="U64" s="101"/>
      <c r="V64" s="101"/>
      <c r="W64" s="101"/>
      <c r="X64" s="101"/>
      <c r="Y64" s="346"/>
      <c r="AA64" s="106"/>
      <c r="AB64" s="107"/>
      <c r="AC64" s="265"/>
      <c r="AJ64" s="265"/>
      <c r="AK64" s="265"/>
      <c r="AL64" s="265"/>
      <c r="AM64" s="265"/>
      <c r="AN64" s="265"/>
    </row>
    <row r="65" spans="1:40" ht="12.95" customHeight="1">
      <c r="A65" s="150"/>
      <c r="B65" s="345"/>
      <c r="C65" s="287"/>
      <c r="D65" s="101"/>
      <c r="E65" s="108"/>
      <c r="F65" s="324" t="s">
        <v>226</v>
      </c>
      <c r="G65" s="120">
        <f>ROUND(1*A60/1000,1)</f>
        <v>0.3</v>
      </c>
      <c r="H65" s="179"/>
      <c r="I65" s="320"/>
      <c r="J65" s="395"/>
      <c r="K65" s="396"/>
      <c r="L65" s="395"/>
      <c r="M65" s="395"/>
      <c r="N65" s="395"/>
      <c r="O65" s="396"/>
      <c r="P65" s="395"/>
      <c r="Q65" s="133"/>
      <c r="R65" s="133"/>
      <c r="S65" s="133"/>
      <c r="T65" s="133"/>
      <c r="U65" s="133"/>
      <c r="V65" s="133"/>
      <c r="W65" s="133"/>
      <c r="X65" s="133"/>
      <c r="Y65" s="346"/>
      <c r="AA65" s="107"/>
      <c r="AB65" s="107"/>
      <c r="AC65" s="265"/>
      <c r="AJ65" s="265"/>
      <c r="AK65" s="265"/>
      <c r="AL65" s="265"/>
      <c r="AM65" s="265"/>
      <c r="AN65" s="265"/>
    </row>
    <row r="66" spans="1:40" ht="12.95" customHeight="1">
      <c r="A66" s="150"/>
      <c r="B66" s="345"/>
      <c r="C66" s="287"/>
      <c r="D66" s="101"/>
      <c r="E66" s="93" t="s">
        <v>246</v>
      </c>
      <c r="F66" s="305" t="s">
        <v>133</v>
      </c>
      <c r="G66" s="124">
        <v>22</v>
      </c>
      <c r="H66" s="50"/>
      <c r="I66" s="157"/>
      <c r="J66" s="395"/>
      <c r="K66" s="396"/>
      <c r="L66" s="395"/>
      <c r="M66" s="395"/>
      <c r="N66" s="395"/>
      <c r="O66" s="396"/>
      <c r="P66" s="395"/>
      <c r="Q66" s="92"/>
      <c r="R66" s="92"/>
      <c r="S66" s="92"/>
      <c r="T66" s="92"/>
      <c r="U66" s="92"/>
      <c r="V66" s="92"/>
      <c r="W66" s="92"/>
      <c r="X66" s="92"/>
      <c r="Y66" s="346"/>
      <c r="AA66" s="107"/>
      <c r="AB66" s="107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</row>
    <row r="67" spans="1:40" ht="12.95" customHeight="1">
      <c r="A67" s="150"/>
      <c r="B67" s="345"/>
      <c r="C67" s="287"/>
      <c r="D67" s="101"/>
      <c r="E67" s="102"/>
      <c r="F67" s="148" t="s">
        <v>121</v>
      </c>
      <c r="G67" s="135" t="s">
        <v>249</v>
      </c>
      <c r="H67" s="322"/>
      <c r="I67" s="131"/>
      <c r="J67" s="395"/>
      <c r="K67" s="396"/>
      <c r="L67" s="395"/>
      <c r="M67" s="395"/>
      <c r="N67" s="395"/>
      <c r="O67" s="396"/>
      <c r="P67" s="395"/>
      <c r="Q67" s="101"/>
      <c r="R67" s="101"/>
      <c r="S67" s="101"/>
      <c r="T67" s="101"/>
      <c r="U67" s="101"/>
      <c r="V67" s="101"/>
      <c r="W67" s="101"/>
      <c r="X67" s="101"/>
      <c r="Y67" s="346"/>
      <c r="AA67" s="107"/>
      <c r="AB67" s="107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</row>
    <row r="68" spans="1:40" ht="12.95" customHeight="1">
      <c r="A68" s="164"/>
      <c r="B68" s="345"/>
      <c r="C68" s="287"/>
      <c r="D68" s="101"/>
      <c r="E68" s="108"/>
      <c r="F68" s="51"/>
      <c r="G68" s="122"/>
      <c r="H68" s="323"/>
      <c r="I68" s="136"/>
      <c r="J68" s="395"/>
      <c r="K68" s="396"/>
      <c r="L68" s="395"/>
      <c r="M68" s="395"/>
      <c r="N68" s="395"/>
      <c r="O68" s="396"/>
      <c r="P68" s="395"/>
      <c r="Q68" s="133"/>
      <c r="R68" s="133"/>
      <c r="S68" s="133"/>
      <c r="T68" s="133"/>
      <c r="U68" s="133"/>
      <c r="V68" s="133"/>
      <c r="W68" s="133"/>
      <c r="X68" s="133"/>
      <c r="Y68" s="346"/>
      <c r="AA68" s="106"/>
      <c r="AB68" s="107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</row>
    <row r="69" spans="1:40" ht="12.95" customHeight="1">
      <c r="A69" s="150"/>
      <c r="B69" s="345"/>
      <c r="C69" s="287"/>
      <c r="D69" s="101"/>
      <c r="E69" s="93" t="s">
        <v>188</v>
      </c>
      <c r="F69" s="297" t="s">
        <v>281</v>
      </c>
      <c r="G69" s="120">
        <f>ROUND(9*A60/1000,0)</f>
        <v>2</v>
      </c>
      <c r="H69" s="50"/>
      <c r="I69" s="95"/>
      <c r="J69" s="395"/>
      <c r="K69" s="396"/>
      <c r="L69" s="395"/>
      <c r="M69" s="395"/>
      <c r="N69" s="395"/>
      <c r="O69" s="396"/>
      <c r="P69" s="395"/>
      <c r="Q69" s="92"/>
      <c r="R69" s="92"/>
      <c r="S69" s="92"/>
      <c r="T69" s="92"/>
      <c r="U69" s="92"/>
      <c r="V69" s="92"/>
      <c r="W69" s="92"/>
      <c r="X69" s="92"/>
      <c r="Y69" s="346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</row>
    <row r="70" spans="1:40" ht="12.95" customHeight="1">
      <c r="A70" s="150"/>
      <c r="B70" s="345"/>
      <c r="C70" s="287"/>
      <c r="D70" s="101"/>
      <c r="E70" s="81"/>
      <c r="F70" s="321" t="s">
        <v>189</v>
      </c>
      <c r="G70" s="120">
        <f>ROUND(50*A60/1000,0)</f>
        <v>13</v>
      </c>
      <c r="H70" s="322"/>
      <c r="I70" s="104"/>
      <c r="J70" s="399"/>
      <c r="K70" s="399"/>
      <c r="L70" s="399"/>
      <c r="M70" s="399"/>
      <c r="N70" s="399"/>
      <c r="O70" s="399"/>
      <c r="P70" s="399"/>
      <c r="Q70" s="101"/>
      <c r="R70" s="101"/>
      <c r="S70" s="101"/>
      <c r="T70" s="101"/>
      <c r="U70" s="101"/>
      <c r="V70" s="101"/>
      <c r="W70" s="101"/>
      <c r="X70" s="101"/>
      <c r="Y70" s="346"/>
      <c r="AA70" s="106"/>
      <c r="AB70" s="107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</row>
    <row r="71" spans="1:40" ht="12.95" customHeight="1">
      <c r="B71" s="345"/>
      <c r="C71" s="287"/>
      <c r="D71" s="133"/>
      <c r="E71" s="87"/>
      <c r="F71" s="51" t="s">
        <v>190</v>
      </c>
      <c r="G71" s="122">
        <f>ROUND(0.7*A60/1000,1)</f>
        <v>0.2</v>
      </c>
      <c r="H71" s="323"/>
      <c r="I71" s="111"/>
      <c r="J71" s="400"/>
      <c r="K71" s="400"/>
      <c r="L71" s="400"/>
      <c r="M71" s="400"/>
      <c r="N71" s="400"/>
      <c r="O71" s="400"/>
      <c r="P71" s="400"/>
      <c r="Q71" s="133"/>
      <c r="R71" s="133"/>
      <c r="S71" s="133"/>
      <c r="T71" s="133"/>
      <c r="U71" s="133"/>
      <c r="V71" s="133"/>
      <c r="W71" s="133"/>
      <c r="X71" s="133"/>
      <c r="Y71" s="351"/>
      <c r="AA71" s="106"/>
      <c r="AB71" s="390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</row>
    <row r="72" spans="1:40" ht="12.95" customHeight="1">
      <c r="B72" s="139" t="s">
        <v>68</v>
      </c>
      <c r="C72" s="140"/>
      <c r="D72" s="141"/>
      <c r="E72" s="142" t="s">
        <v>377</v>
      </c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4"/>
      <c r="AA72" s="204"/>
      <c r="AB72" s="107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</row>
    <row r="73" spans="1:40" ht="10.5" customHeight="1">
      <c r="A73" s="58"/>
      <c r="B73" s="222" t="s">
        <v>71</v>
      </c>
      <c r="C73" s="223"/>
      <c r="D73" s="223"/>
      <c r="E73" s="224"/>
      <c r="F73" s="222" t="s">
        <v>72</v>
      </c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4"/>
      <c r="AB73" s="62"/>
      <c r="AC73" s="265"/>
      <c r="AD73" s="265"/>
      <c r="AE73" s="265"/>
      <c r="AF73" s="265"/>
      <c r="AG73" s="265"/>
    </row>
    <row r="74" spans="1:40" ht="10.5" customHeight="1">
      <c r="B74" s="225"/>
      <c r="C74" s="226"/>
      <c r="D74" s="226"/>
      <c r="E74" s="227"/>
      <c r="F74" s="225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7"/>
      <c r="AA74" s="107"/>
      <c r="AB74" s="107"/>
    </row>
    <row r="75" spans="1:40" ht="10.5" customHeight="1">
      <c r="B75" s="225"/>
      <c r="C75" s="226"/>
      <c r="D75" s="226"/>
      <c r="E75" s="227"/>
      <c r="F75" s="225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7"/>
      <c r="AA75" s="228"/>
      <c r="AB75" s="229"/>
    </row>
    <row r="76" spans="1:40" ht="10.5" customHeight="1">
      <c r="B76" s="230"/>
      <c r="C76" s="231"/>
      <c r="D76" s="231"/>
      <c r="E76" s="232"/>
      <c r="F76" s="230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  <c r="AA76" s="233"/>
      <c r="AB76" s="234"/>
    </row>
    <row r="77" spans="1:40">
      <c r="B77" s="235" t="s">
        <v>42</v>
      </c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AA77" s="58"/>
      <c r="AB77" s="207"/>
    </row>
    <row r="78" spans="1:40" ht="21">
      <c r="B78" s="236" t="s">
        <v>43</v>
      </c>
      <c r="C78" s="236"/>
      <c r="D78" s="236"/>
      <c r="E78" s="236"/>
      <c r="H78" s="236" t="s">
        <v>37</v>
      </c>
      <c r="I78" s="236"/>
      <c r="J78" s="236"/>
      <c r="K78" s="237"/>
      <c r="L78" s="237"/>
      <c r="M78" s="237"/>
      <c r="N78" s="238"/>
      <c r="O78" s="238"/>
      <c r="P78" s="239"/>
      <c r="Q78" s="239"/>
      <c r="R78" s="239"/>
      <c r="S78" s="238" t="s">
        <v>44</v>
      </c>
      <c r="T78" s="238"/>
      <c r="U78" s="240"/>
      <c r="V78" s="240"/>
      <c r="W78" s="240"/>
      <c r="X78" s="240"/>
      <c r="Y78" s="240"/>
      <c r="AA78" s="215"/>
      <c r="AB78" s="241"/>
    </row>
  </sheetData>
  <sheetProtection formatCells="0" selectLockedCells="1" selectUnlockedCells="1"/>
  <protectedRanges>
    <protectedRange password="C60F" sqref="P77:S77" name="範圍1_1"/>
  </protectedRanges>
  <mergeCells count="284">
    <mergeCell ref="E56:E58"/>
    <mergeCell ref="Q56:Q58"/>
    <mergeCell ref="R56:R58"/>
    <mergeCell ref="S56:S58"/>
    <mergeCell ref="T56:T58"/>
    <mergeCell ref="X69:X71"/>
    <mergeCell ref="J70:J71"/>
    <mergeCell ref="K70:K71"/>
    <mergeCell ref="L70:L71"/>
    <mergeCell ref="M70:M71"/>
    <mergeCell ref="U56:U58"/>
    <mergeCell ref="L47:L58"/>
    <mergeCell ref="M47:M58"/>
    <mergeCell ref="N47:N58"/>
    <mergeCell ref="O47:O58"/>
    <mergeCell ref="P47:P58"/>
    <mergeCell ref="Q47:Q49"/>
    <mergeCell ref="X50:X52"/>
    <mergeCell ref="V56:V58"/>
    <mergeCell ref="W56:W58"/>
    <mergeCell ref="X56:X58"/>
    <mergeCell ref="W50:W52"/>
    <mergeCell ref="R47:R49"/>
    <mergeCell ref="S47:S49"/>
    <mergeCell ref="B72:D72"/>
    <mergeCell ref="E72:Y72"/>
    <mergeCell ref="B59:D59"/>
    <mergeCell ref="E59:Y59"/>
    <mergeCell ref="V63:V65"/>
    <mergeCell ref="W63:W65"/>
    <mergeCell ref="R60:R62"/>
    <mergeCell ref="Q63:Q65"/>
    <mergeCell ref="R63:R65"/>
    <mergeCell ref="S63:S65"/>
    <mergeCell ref="T63:T65"/>
    <mergeCell ref="U63:U65"/>
    <mergeCell ref="N60:N69"/>
    <mergeCell ref="O60:O69"/>
    <mergeCell ref="P60:P69"/>
    <mergeCell ref="Q60:Q62"/>
    <mergeCell ref="O70:O71"/>
    <mergeCell ref="P70:P71"/>
    <mergeCell ref="B73:E76"/>
    <mergeCell ref="F73:Y76"/>
    <mergeCell ref="D60:D71"/>
    <mergeCell ref="E69:E71"/>
    <mergeCell ref="Q69:Q71"/>
    <mergeCell ref="R69:R71"/>
    <mergeCell ref="S69:S71"/>
    <mergeCell ref="T69:T71"/>
    <mergeCell ref="U69:U71"/>
    <mergeCell ref="V69:V71"/>
    <mergeCell ref="W69:W71"/>
    <mergeCell ref="S60:S62"/>
    <mergeCell ref="T60:T62"/>
    <mergeCell ref="U60:U62"/>
    <mergeCell ref="V60:V62"/>
    <mergeCell ref="W60:W62"/>
    <mergeCell ref="B60:B71"/>
    <mergeCell ref="C60:C71"/>
    <mergeCell ref="E60:E62"/>
    <mergeCell ref="J60:J69"/>
    <mergeCell ref="K60:K69"/>
    <mergeCell ref="X60:X62"/>
    <mergeCell ref="Y60:Y71"/>
    <mergeCell ref="E63:E65"/>
    <mergeCell ref="Q53:Q55"/>
    <mergeCell ref="R53:R55"/>
    <mergeCell ref="S53:S55"/>
    <mergeCell ref="T53:T55"/>
    <mergeCell ref="U53:U55"/>
    <mergeCell ref="V53:V55"/>
    <mergeCell ref="B77:Y77"/>
    <mergeCell ref="B78:E78"/>
    <mergeCell ref="H78:J78"/>
    <mergeCell ref="N78:O78"/>
    <mergeCell ref="S78:T78"/>
    <mergeCell ref="X63:X65"/>
    <mergeCell ref="E66:E68"/>
    <mergeCell ref="Q66:Q68"/>
    <mergeCell ref="R66:R68"/>
    <mergeCell ref="S66:S68"/>
    <mergeCell ref="T66:T68"/>
    <mergeCell ref="U66:U68"/>
    <mergeCell ref="V66:V68"/>
    <mergeCell ref="W66:W68"/>
    <mergeCell ref="X66:X68"/>
    <mergeCell ref="N70:N71"/>
    <mergeCell ref="L60:L69"/>
    <mergeCell ref="M60:M69"/>
    <mergeCell ref="B46:D46"/>
    <mergeCell ref="E46:Y46"/>
    <mergeCell ref="B47:B58"/>
    <mergeCell ref="C47:C58"/>
    <mergeCell ref="D47:D58"/>
    <mergeCell ref="E47:E49"/>
    <mergeCell ref="J47:J58"/>
    <mergeCell ref="K47:K58"/>
    <mergeCell ref="X47:X49"/>
    <mergeCell ref="Y47:Y58"/>
    <mergeCell ref="E50:E52"/>
    <mergeCell ref="Q50:Q52"/>
    <mergeCell ref="R50:R52"/>
    <mergeCell ref="S50:S52"/>
    <mergeCell ref="T50:T52"/>
    <mergeCell ref="U50:U52"/>
    <mergeCell ref="V50:V52"/>
    <mergeCell ref="T47:T49"/>
    <mergeCell ref="U47:U49"/>
    <mergeCell ref="V47:V49"/>
    <mergeCell ref="W47:W49"/>
    <mergeCell ref="W53:W55"/>
    <mergeCell ref="X53:X55"/>
    <mergeCell ref="E53:E55"/>
    <mergeCell ref="W37:W39"/>
    <mergeCell ref="X37:X39"/>
    <mergeCell ref="E40:E42"/>
    <mergeCell ref="E43:E45"/>
    <mergeCell ref="Q43:Q45"/>
    <mergeCell ref="R43:R45"/>
    <mergeCell ref="S43:S45"/>
    <mergeCell ref="T43:T45"/>
    <mergeCell ref="U43:U45"/>
    <mergeCell ref="V43:V45"/>
    <mergeCell ref="W43:W45"/>
    <mergeCell ref="X43:X45"/>
    <mergeCell ref="R34:R36"/>
    <mergeCell ref="S34:S36"/>
    <mergeCell ref="T34:T36"/>
    <mergeCell ref="U34:U36"/>
    <mergeCell ref="V34:V36"/>
    <mergeCell ref="K34:K45"/>
    <mergeCell ref="L34:L45"/>
    <mergeCell ref="M34:M45"/>
    <mergeCell ref="N34:N45"/>
    <mergeCell ref="O34:O45"/>
    <mergeCell ref="P34:P45"/>
    <mergeCell ref="B33:D33"/>
    <mergeCell ref="E33:Y33"/>
    <mergeCell ref="B34:B45"/>
    <mergeCell ref="C34:C45"/>
    <mergeCell ref="D34:D45"/>
    <mergeCell ref="E34:E36"/>
    <mergeCell ref="J34:J45"/>
    <mergeCell ref="E30:E32"/>
    <mergeCell ref="Q30:Q32"/>
    <mergeCell ref="R30:R32"/>
    <mergeCell ref="S30:S32"/>
    <mergeCell ref="T30:T32"/>
    <mergeCell ref="U30:U32"/>
    <mergeCell ref="W34:W36"/>
    <mergeCell ref="X34:X36"/>
    <mergeCell ref="Y34:Y45"/>
    <mergeCell ref="E37:E39"/>
    <mergeCell ref="Q37:Q39"/>
    <mergeCell ref="R37:R39"/>
    <mergeCell ref="S37:S39"/>
    <mergeCell ref="T37:T39"/>
    <mergeCell ref="U37:U39"/>
    <mergeCell ref="V37:V39"/>
    <mergeCell ref="Q34:Q36"/>
    <mergeCell ref="L21:L32"/>
    <mergeCell ref="M21:M32"/>
    <mergeCell ref="N21:N32"/>
    <mergeCell ref="O21:O32"/>
    <mergeCell ref="P21:P32"/>
    <mergeCell ref="Q21:Q23"/>
    <mergeCell ref="X24:X26"/>
    <mergeCell ref="E27:E29"/>
    <mergeCell ref="Q27:Q29"/>
    <mergeCell ref="R27:R29"/>
    <mergeCell ref="S27:S29"/>
    <mergeCell ref="T27:T29"/>
    <mergeCell ref="U27:U29"/>
    <mergeCell ref="V27:V29"/>
    <mergeCell ref="W27:W29"/>
    <mergeCell ref="X27:X29"/>
    <mergeCell ref="V30:V32"/>
    <mergeCell ref="W30:W32"/>
    <mergeCell ref="X30:X32"/>
    <mergeCell ref="B20:D20"/>
    <mergeCell ref="E20:Y20"/>
    <mergeCell ref="B21:B32"/>
    <mergeCell ref="C21:C32"/>
    <mergeCell ref="D21:D32"/>
    <mergeCell ref="E21:E23"/>
    <mergeCell ref="J21:J32"/>
    <mergeCell ref="K21:K32"/>
    <mergeCell ref="X21:X23"/>
    <mergeCell ref="Y21:Y32"/>
    <mergeCell ref="E24:E26"/>
    <mergeCell ref="Q24:Q26"/>
    <mergeCell ref="R24:R26"/>
    <mergeCell ref="S24:S26"/>
    <mergeCell ref="T24:T26"/>
    <mergeCell ref="U24:U26"/>
    <mergeCell ref="V24:V26"/>
    <mergeCell ref="W24:W26"/>
    <mergeCell ref="R21:R23"/>
    <mergeCell ref="S21:S23"/>
    <mergeCell ref="T21:T23"/>
    <mergeCell ref="U21:U23"/>
    <mergeCell ref="V21:V23"/>
    <mergeCell ref="W21:W23"/>
    <mergeCell ref="T14:T16"/>
    <mergeCell ref="U14:U16"/>
    <mergeCell ref="V14:V16"/>
    <mergeCell ref="W14:W16"/>
    <mergeCell ref="X14:X16"/>
    <mergeCell ref="E17:E19"/>
    <mergeCell ref="Q17:Q19"/>
    <mergeCell ref="R17:R19"/>
    <mergeCell ref="S17:S19"/>
    <mergeCell ref="T17:T19"/>
    <mergeCell ref="U17:U19"/>
    <mergeCell ref="V17:V19"/>
    <mergeCell ref="W17:W19"/>
    <mergeCell ref="X17:X19"/>
    <mergeCell ref="U8:U10"/>
    <mergeCell ref="V8:V10"/>
    <mergeCell ref="W8:W10"/>
    <mergeCell ref="X8:X10"/>
    <mergeCell ref="Y8:Y19"/>
    <mergeCell ref="E11:E13"/>
    <mergeCell ref="Q11:Q13"/>
    <mergeCell ref="R11:R13"/>
    <mergeCell ref="S11:S13"/>
    <mergeCell ref="T11:T13"/>
    <mergeCell ref="O8:O19"/>
    <mergeCell ref="P8:P19"/>
    <mergeCell ref="Q8:Q10"/>
    <mergeCell ref="R8:R10"/>
    <mergeCell ref="S8:S10"/>
    <mergeCell ref="T8:T10"/>
    <mergeCell ref="U11:U13"/>
    <mergeCell ref="V11:V13"/>
    <mergeCell ref="W11:W13"/>
    <mergeCell ref="X11:X13"/>
    <mergeCell ref="E14:E16"/>
    <mergeCell ref="Q14:Q16"/>
    <mergeCell ref="R14:R16"/>
    <mergeCell ref="S14:S16"/>
    <mergeCell ref="B8:B19"/>
    <mergeCell ref="C8:C19"/>
    <mergeCell ref="D8:D19"/>
    <mergeCell ref="E8:E10"/>
    <mergeCell ref="J8:J19"/>
    <mergeCell ref="K8:K19"/>
    <mergeCell ref="L8:L19"/>
    <mergeCell ref="M8:M19"/>
    <mergeCell ref="N8:N19"/>
    <mergeCell ref="Y3:Y7"/>
    <mergeCell ref="E4:E7"/>
    <mergeCell ref="F4:F7"/>
    <mergeCell ref="G4:G7"/>
    <mergeCell ref="H4:H7"/>
    <mergeCell ref="I4:I7"/>
    <mergeCell ref="J4:P4"/>
    <mergeCell ref="Q4:Q7"/>
    <mergeCell ref="R4:R7"/>
    <mergeCell ref="P5:P7"/>
    <mergeCell ref="J5:J7"/>
    <mergeCell ref="K5:K7"/>
    <mergeCell ref="L5:L7"/>
    <mergeCell ref="M5:M7"/>
    <mergeCell ref="N5:N7"/>
    <mergeCell ref="O5:O7"/>
    <mergeCell ref="P1:V1"/>
    <mergeCell ref="E2:G2"/>
    <mergeCell ref="H2:O2"/>
    <mergeCell ref="P2:U2"/>
    <mergeCell ref="V2:X2"/>
    <mergeCell ref="B3:B7"/>
    <mergeCell ref="C3:C7"/>
    <mergeCell ref="D3:D7"/>
    <mergeCell ref="E3:P3"/>
    <mergeCell ref="Q3:S3"/>
    <mergeCell ref="S4:S7"/>
    <mergeCell ref="T4:T6"/>
    <mergeCell ref="U4:U6"/>
    <mergeCell ref="V4:V6"/>
    <mergeCell ref="W4:W6"/>
    <mergeCell ref="X4:X6"/>
    <mergeCell ref="T3:X3"/>
  </mergeCells>
  <phoneticPr fontId="3" type="noConversion"/>
  <printOptions horizontalCentered="1" verticalCentered="1"/>
  <pageMargins left="0.59055118110236227" right="0.39370078740157483" top="0.19685039370078741" bottom="0" header="0" footer="0"/>
  <pageSetup paperSize="9" scale="84" orientation="portrait" r:id="rId1"/>
  <headerFooter alignWithMargins="0"/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3"/>
  <dimension ref="A1:M114"/>
  <sheetViews>
    <sheetView topLeftCell="D6" workbookViewId="0">
      <selection activeCell="I20" sqref="I20"/>
    </sheetView>
  </sheetViews>
  <sheetFormatPr defaultRowHeight="16.5"/>
  <cols>
    <col min="1" max="1" width="15.625" customWidth="1"/>
    <col min="2" max="3" width="8.75" customWidth="1"/>
    <col min="4" max="4" width="8.375" customWidth="1"/>
    <col min="5" max="5" width="7.75" customWidth="1"/>
    <col min="6" max="6" width="7.5" customWidth="1"/>
  </cols>
  <sheetData>
    <row r="1" spans="1:13">
      <c r="A1" t="s">
        <v>22</v>
      </c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>
      <c r="A17" s="28" t="s">
        <v>21</v>
      </c>
      <c r="B17" s="34"/>
      <c r="C17" s="35"/>
      <c r="D17" s="36"/>
      <c r="E17" s="36"/>
      <c r="F17" s="36"/>
    </row>
    <row r="18" spans="1:6">
      <c r="B18" t="s">
        <v>27</v>
      </c>
      <c r="D18" t="s">
        <v>28</v>
      </c>
      <c r="E18" t="s">
        <v>29</v>
      </c>
      <c r="F18" t="s">
        <v>30</v>
      </c>
    </row>
    <row r="20" spans="1:6">
      <c r="A20" t="s">
        <v>31</v>
      </c>
    </row>
    <row r="21" spans="1:6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>
      <c r="A36" s="28" t="s">
        <v>21</v>
      </c>
      <c r="B36" s="34"/>
      <c r="C36" s="35"/>
      <c r="D36" s="36"/>
      <c r="E36" s="36"/>
      <c r="F36" s="36"/>
    </row>
    <row r="37" spans="1:6">
      <c r="B37" t="s">
        <v>27</v>
      </c>
      <c r="D37" t="s">
        <v>28</v>
      </c>
      <c r="E37" t="s">
        <v>29</v>
      </c>
      <c r="F37" t="s">
        <v>30</v>
      </c>
    </row>
    <row r="39" spans="1:6">
      <c r="A39" t="s">
        <v>33</v>
      </c>
    </row>
    <row r="40" spans="1:6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>
      <c r="A55" s="28" t="s">
        <v>21</v>
      </c>
      <c r="B55" s="34"/>
      <c r="C55" s="35"/>
      <c r="D55" s="36"/>
      <c r="E55" s="36"/>
      <c r="F55" s="36"/>
    </row>
    <row r="56" spans="1:6">
      <c r="B56" t="s">
        <v>27</v>
      </c>
      <c r="D56" t="s">
        <v>28</v>
      </c>
      <c r="E56" t="s">
        <v>29</v>
      </c>
      <c r="F56" t="s">
        <v>30</v>
      </c>
    </row>
    <row r="58" spans="1:6">
      <c r="A58" t="s">
        <v>34</v>
      </c>
    </row>
    <row r="59" spans="1:6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>
      <c r="A74" s="28" t="s">
        <v>21</v>
      </c>
      <c r="B74" s="34"/>
      <c r="C74" s="35"/>
      <c r="D74" s="36"/>
      <c r="E74" s="36"/>
      <c r="F74" s="36"/>
    </row>
    <row r="75" spans="1:6">
      <c r="B75" t="s">
        <v>27</v>
      </c>
      <c r="D75" t="s">
        <v>28</v>
      </c>
      <c r="E75" t="s">
        <v>29</v>
      </c>
      <c r="F75" t="s">
        <v>30</v>
      </c>
    </row>
    <row r="77" spans="1:6">
      <c r="A77" t="s">
        <v>35</v>
      </c>
    </row>
    <row r="78" spans="1:6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>
      <c r="A93" s="28" t="s">
        <v>21</v>
      </c>
      <c r="B93" s="34"/>
      <c r="C93" s="35"/>
      <c r="D93" s="36"/>
      <c r="E93" s="36"/>
      <c r="F93" s="36"/>
    </row>
    <row r="94" spans="1:6">
      <c r="B94" t="s">
        <v>27</v>
      </c>
      <c r="D94" t="s">
        <v>28</v>
      </c>
      <c r="E94" t="s">
        <v>29</v>
      </c>
      <c r="F94" t="s">
        <v>30</v>
      </c>
    </row>
    <row r="97" spans="1:6">
      <c r="A97" t="s">
        <v>36</v>
      </c>
    </row>
    <row r="98" spans="1:6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>
      <c r="A100" s="11" t="s">
        <v>10</v>
      </c>
      <c r="B100" s="37" t="e">
        <f t="shared" ref="B100:B111" si="0">(B4+B23+B42+B61+B80)/5</f>
        <v>#REF!</v>
      </c>
      <c r="C100" s="12">
        <v>152</v>
      </c>
      <c r="D100" s="13"/>
      <c r="E100" s="14"/>
      <c r="F100" s="14"/>
    </row>
    <row r="101" spans="1:6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>
      <c r="A113" s="28" t="s">
        <v>21</v>
      </c>
      <c r="B113" s="34"/>
      <c r="C113" s="35"/>
      <c r="D113" s="36"/>
      <c r="E113" s="36"/>
      <c r="F113" s="36"/>
    </row>
    <row r="114" spans="1:6">
      <c r="B114" t="s">
        <v>27</v>
      </c>
      <c r="D114" t="s">
        <v>28</v>
      </c>
      <c r="E114" t="s">
        <v>29</v>
      </c>
      <c r="F114" t="s">
        <v>30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第7週</vt:lpstr>
      <vt:lpstr>第8週</vt:lpstr>
      <vt:lpstr>第9週</vt:lpstr>
      <vt:lpstr>第10週</vt:lpstr>
      <vt:lpstr>熱量計算</vt:lpstr>
      <vt:lpstr>第10週!Print_Area</vt:lpstr>
      <vt:lpstr>第7週!Print_Area</vt:lpstr>
      <vt:lpstr>第8週!Print_Area</vt:lpstr>
      <vt:lpstr>第9週!Print_Area</vt:lpstr>
    </vt:vector>
  </TitlesOfParts>
  <Company>ls1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user</cp:lastModifiedBy>
  <cp:lastPrinted>2020-03-26T02:24:24Z</cp:lastPrinted>
  <dcterms:created xsi:type="dcterms:W3CDTF">2003-11-12T02:37:56Z</dcterms:created>
  <dcterms:modified xsi:type="dcterms:W3CDTF">2020-03-26T02:27:30Z</dcterms:modified>
</cp:coreProperties>
</file>