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551AC5-480E-4980-B19A-137F6F52E8DE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第15週" sheetId="3" r:id="rId1"/>
    <sheet name="第16週" sheetId="1" r:id="rId2"/>
    <sheet name="熱量計算" sheetId="2" state="hidden" r:id="rId3"/>
    <sheet name="第17週" sheetId="4" r:id="rId4"/>
    <sheet name="第18週" sheetId="5" r:id="rId5"/>
    <sheet name="第19週" sheetId="6" r:id="rId6"/>
  </sheets>
  <definedNames>
    <definedName name="_xlnm.Print_Area" localSheetId="0">第15週!$B$1:$Y$78</definedName>
    <definedName name="_xlnm.Print_Area" localSheetId="1">第16週!$B$1:$Y$78</definedName>
    <definedName name="_xlnm.Print_Area" localSheetId="3">第17週!$B$1:$Y$79</definedName>
    <definedName name="_xlnm.Print_Area" localSheetId="4">第18週!$B$1:$Y$78</definedName>
    <definedName name="_xlnm.Print_Area" localSheetId="5">第19週!$B$1:$Y$78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6" l="1"/>
  <c r="G12" i="6"/>
  <c r="G64" i="5" l="1"/>
  <c r="G50" i="5"/>
  <c r="I69" i="5"/>
  <c r="G69" i="5"/>
  <c r="G71" i="5"/>
  <c r="I52" i="4"/>
  <c r="I51" i="4"/>
  <c r="G51" i="4"/>
  <c r="G66" i="4"/>
  <c r="G65" i="4"/>
  <c r="I64" i="4"/>
  <c r="G64" i="4"/>
  <c r="G63" i="4"/>
  <c r="G26" i="5"/>
  <c r="G25" i="5"/>
  <c r="G24" i="5"/>
  <c r="G23" i="5" l="1"/>
  <c r="G22" i="5"/>
  <c r="G21" i="5"/>
  <c r="G8" i="5" l="1"/>
  <c r="I71" i="1" l="1"/>
  <c r="G71" i="1"/>
  <c r="I70" i="1"/>
  <c r="G70" i="1"/>
  <c r="I69" i="1"/>
  <c r="G69" i="1"/>
  <c r="G26" i="1"/>
  <c r="G25" i="1"/>
  <c r="G24" i="1"/>
  <c r="G62" i="1"/>
  <c r="G61" i="1"/>
  <c r="G60" i="1"/>
  <c r="G23" i="1" l="1"/>
  <c r="G22" i="1"/>
  <c r="I21" i="1"/>
  <c r="G21" i="1"/>
  <c r="G60" i="5" l="1"/>
  <c r="G61" i="4" l="1"/>
  <c r="G48" i="4" l="1"/>
  <c r="G50" i="4"/>
  <c r="G49" i="4"/>
  <c r="I34" i="4" l="1"/>
  <c r="G36" i="5" l="1"/>
  <c r="I35" i="5"/>
  <c r="G9" i="1"/>
  <c r="A21" i="3" l="1"/>
  <c r="G11" i="1"/>
  <c r="G12" i="1"/>
  <c r="I34" i="5" l="1"/>
  <c r="G37" i="4"/>
  <c r="G36" i="4" l="1"/>
  <c r="G21" i="6" l="1"/>
  <c r="G62" i="5"/>
  <c r="G61" i="5"/>
  <c r="I60" i="5"/>
  <c r="I36" i="1" l="1"/>
  <c r="I34" i="1"/>
  <c r="G14" i="6"/>
  <c r="G14" i="5"/>
  <c r="G14" i="4"/>
  <c r="G14" i="1"/>
  <c r="G70" i="5" l="1"/>
  <c r="G19" i="5"/>
  <c r="G40" i="5" l="1"/>
  <c r="G9" i="6" l="1"/>
  <c r="G8" i="6"/>
  <c r="I8" i="6"/>
  <c r="G72" i="4" l="1"/>
  <c r="G71" i="4"/>
  <c r="I70" i="4"/>
  <c r="G70" i="4"/>
  <c r="I22" i="6"/>
  <c r="G22" i="6"/>
  <c r="G34" i="5" l="1"/>
  <c r="G32" i="6" l="1"/>
  <c r="G47" i="6"/>
  <c r="G9" i="4"/>
  <c r="G8" i="4"/>
  <c r="G34" i="1" l="1"/>
  <c r="G35" i="1"/>
  <c r="G36" i="1"/>
  <c r="P60" i="6" l="1"/>
  <c r="P61" i="4" l="1"/>
  <c r="P48" i="4" l="1"/>
  <c r="P34" i="4"/>
  <c r="G58" i="1" l="1"/>
  <c r="G57" i="1"/>
  <c r="G56" i="1"/>
  <c r="G19" i="1"/>
  <c r="G17" i="1"/>
  <c r="G65" i="6" l="1"/>
  <c r="G64" i="6"/>
  <c r="I63" i="6"/>
  <c r="G63" i="6"/>
  <c r="G63" i="5"/>
  <c r="G61" i="6"/>
  <c r="G60" i="6"/>
  <c r="G19" i="6" l="1"/>
  <c r="G18" i="6"/>
  <c r="G17" i="6"/>
  <c r="G19" i="4" l="1"/>
  <c r="G18" i="4"/>
  <c r="G17" i="4"/>
  <c r="G12" i="4" l="1"/>
  <c r="G11" i="4"/>
  <c r="I56" i="6"/>
  <c r="G12" i="5" l="1"/>
  <c r="G11" i="5"/>
  <c r="G13" i="4" l="1"/>
  <c r="G48" i="5" l="1"/>
  <c r="G24" i="6" l="1"/>
  <c r="G25" i="6"/>
  <c r="G30" i="6" l="1"/>
  <c r="I57" i="6" l="1"/>
  <c r="G56" i="6"/>
  <c r="G57" i="6" l="1"/>
  <c r="G58" i="6"/>
  <c r="G49" i="6" l="1"/>
  <c r="G71" i="6"/>
  <c r="I69" i="6"/>
  <c r="G70" i="6"/>
  <c r="G69" i="6"/>
  <c r="G26" i="6" l="1"/>
  <c r="I24" i="6"/>
  <c r="G32" i="4" l="1"/>
  <c r="I57" i="4"/>
  <c r="G59" i="4"/>
  <c r="G23" i="4" l="1"/>
  <c r="G22" i="4"/>
  <c r="I21" i="4"/>
  <c r="G10" i="1" l="1"/>
  <c r="G48" i="6" l="1"/>
  <c r="G47" i="5"/>
  <c r="I47" i="5"/>
  <c r="G49" i="5"/>
  <c r="I50" i="1" l="1"/>
  <c r="I51" i="1"/>
  <c r="G52" i="1"/>
  <c r="G51" i="1"/>
  <c r="G26" i="4" l="1"/>
  <c r="G25" i="4"/>
  <c r="P47" i="6" l="1"/>
  <c r="P21" i="6"/>
  <c r="P8" i="6"/>
  <c r="P8" i="3" l="1"/>
  <c r="P60" i="3" l="1"/>
  <c r="P47" i="3"/>
  <c r="P21" i="3" l="1"/>
  <c r="P60" i="5" l="1"/>
  <c r="P47" i="5"/>
  <c r="P34" i="5"/>
  <c r="P21" i="5"/>
  <c r="P8" i="5"/>
  <c r="P21" i="4"/>
  <c r="P8" i="4"/>
  <c r="P60" i="1"/>
  <c r="P47" i="1"/>
  <c r="P34" i="1"/>
  <c r="P21" i="1"/>
  <c r="P8" i="1"/>
  <c r="P34" i="3"/>
  <c r="B4" i="2" l="1"/>
  <c r="B5" i="2"/>
  <c r="B6" i="2"/>
  <c r="B8" i="2"/>
  <c r="B23" i="2"/>
  <c r="B24" i="2"/>
  <c r="B25" i="2"/>
  <c r="B27" i="2"/>
  <c r="B42" i="2"/>
  <c r="B43" i="2"/>
  <c r="B44" i="2"/>
  <c r="B46" i="2"/>
  <c r="B61" i="2"/>
  <c r="B62" i="2"/>
  <c r="B63" i="2"/>
  <c r="B65" i="2"/>
  <c r="B80" i="2"/>
  <c r="B81" i="2"/>
  <c r="B82" i="2"/>
  <c r="B84" i="2"/>
  <c r="B83" i="2"/>
  <c r="B64" i="2"/>
  <c r="B45" i="2"/>
  <c r="B26" i="2"/>
  <c r="B7" i="2"/>
  <c r="B91" i="2"/>
  <c r="B72" i="2"/>
  <c r="E72" i="2" s="1"/>
  <c r="B53" i="2"/>
  <c r="F53" i="2" s="1"/>
  <c r="B34" i="2"/>
  <c r="B15" i="2"/>
  <c r="E15" i="2" s="1"/>
  <c r="B13" i="2"/>
  <c r="B51" i="2" l="1"/>
  <c r="D51" i="2" s="1"/>
  <c r="B101" i="2"/>
  <c r="B29" i="2"/>
  <c r="F29" i="2" s="1"/>
  <c r="E83" i="2"/>
  <c r="D83" i="2"/>
  <c r="D64" i="2"/>
  <c r="E64" i="2"/>
  <c r="E45" i="2"/>
  <c r="D45" i="2"/>
  <c r="B50" i="2"/>
  <c r="D50" i="2" s="1"/>
  <c r="B49" i="2"/>
  <c r="E49" i="2" s="1"/>
  <c r="B48" i="2"/>
  <c r="D48" i="2" s="1"/>
  <c r="B47" i="2"/>
  <c r="B28" i="2"/>
  <c r="B85" i="2"/>
  <c r="F85" i="2" s="1"/>
  <c r="B66" i="2"/>
  <c r="F66" i="2" s="1"/>
  <c r="B11" i="2"/>
  <c r="D11" i="2" s="1"/>
  <c r="B10" i="2"/>
  <c r="F10" i="2" s="1"/>
  <c r="B9" i="2"/>
  <c r="F9" i="2" s="1"/>
  <c r="D65" i="2"/>
  <c r="F65" i="2"/>
  <c r="B103" i="2"/>
  <c r="D103" i="2" s="1"/>
  <c r="B86" i="2"/>
  <c r="F86" i="2" s="1"/>
  <c r="B71" i="2"/>
  <c r="E71" i="2" s="1"/>
  <c r="B90" i="2"/>
  <c r="E90" i="2" s="1"/>
  <c r="B33" i="2"/>
  <c r="E33" i="2" s="1"/>
  <c r="B67" i="2"/>
  <c r="D67" i="2" s="1"/>
  <c r="D27" i="2"/>
  <c r="F27" i="2"/>
  <c r="E53" i="2"/>
  <c r="D46" i="2"/>
  <c r="F46" i="2"/>
  <c r="D8" i="2"/>
  <c r="F8" i="2"/>
  <c r="E50" i="2"/>
  <c r="D53" i="2"/>
  <c r="F72" i="2"/>
  <c r="B111" i="2"/>
  <c r="E111" i="2" s="1"/>
  <c r="B70" i="2"/>
  <c r="B32" i="2"/>
  <c r="B31" i="2"/>
  <c r="B12" i="2"/>
  <c r="D12" i="2" s="1"/>
  <c r="B89" i="2"/>
  <c r="D89" i="2" s="1"/>
  <c r="B88" i="2"/>
  <c r="D88" i="2" s="1"/>
  <c r="B87" i="2"/>
  <c r="B102" i="2"/>
  <c r="B69" i="2"/>
  <c r="E69" i="2" s="1"/>
  <c r="B68" i="2"/>
  <c r="B52" i="2"/>
  <c r="E52" i="2" s="1"/>
  <c r="B30" i="2"/>
  <c r="B14" i="2"/>
  <c r="E14" i="2" s="1"/>
  <c r="F28" i="2"/>
  <c r="F47" i="2"/>
  <c r="E51" i="2"/>
  <c r="D15" i="2"/>
  <c r="F15" i="2"/>
  <c r="D91" i="2"/>
  <c r="E91" i="2"/>
  <c r="F91" i="2"/>
  <c r="D7" i="2"/>
  <c r="E7" i="2"/>
  <c r="E89" i="2"/>
  <c r="D13" i="2"/>
  <c r="E13" i="2"/>
  <c r="E34" i="2"/>
  <c r="D34" i="2"/>
  <c r="F34" i="2"/>
  <c r="D26" i="2"/>
  <c r="E26" i="2"/>
  <c r="F84" i="2"/>
  <c r="D84" i="2"/>
  <c r="B104" i="2"/>
  <c r="B100" i="2"/>
  <c r="D72" i="2"/>
  <c r="F67" i="2" l="1"/>
  <c r="E11" i="2"/>
  <c r="D111" i="2"/>
  <c r="D49" i="2"/>
  <c r="D29" i="2"/>
  <c r="D69" i="2"/>
  <c r="D10" i="2"/>
  <c r="B108" i="2"/>
  <c r="E31" i="2"/>
  <c r="B73" i="2"/>
  <c r="D31" i="2"/>
  <c r="D86" i="2"/>
  <c r="E88" i="2"/>
  <c r="B110" i="2"/>
  <c r="E110" i="2" s="1"/>
  <c r="B35" i="2"/>
  <c r="B16" i="2"/>
  <c r="B106" i="2"/>
  <c r="F111" i="2"/>
  <c r="B54" i="2"/>
  <c r="B105" i="2"/>
  <c r="F105" i="2" s="1"/>
  <c r="F48" i="2"/>
  <c r="F54" i="2" s="1"/>
  <c r="E68" i="2"/>
  <c r="D54" i="2"/>
  <c r="F73" i="2"/>
  <c r="F92" i="2"/>
  <c r="D16" i="2"/>
  <c r="F16" i="2"/>
  <c r="B92" i="2"/>
  <c r="E12" i="2"/>
  <c r="D68" i="2"/>
  <c r="E103" i="2"/>
  <c r="D30" i="2"/>
  <c r="B107" i="2"/>
  <c r="E30" i="2"/>
  <c r="D70" i="2"/>
  <c r="E70" i="2"/>
  <c r="E73" i="2" s="1"/>
  <c r="E87" i="2"/>
  <c r="D87" i="2"/>
  <c r="D92" i="2" s="1"/>
  <c r="E32" i="2"/>
  <c r="D32" i="2"/>
  <c r="D35" i="2" s="1"/>
  <c r="B109" i="2"/>
  <c r="D108" i="2"/>
  <c r="E108" i="2"/>
  <c r="E54" i="2"/>
  <c r="F35" i="2"/>
  <c r="F104" i="2"/>
  <c r="D104" i="2"/>
  <c r="E16" i="2"/>
  <c r="E92" i="2" l="1"/>
  <c r="F106" i="2"/>
  <c r="F112" i="2" s="1"/>
  <c r="D106" i="2"/>
  <c r="E35" i="2"/>
  <c r="D73" i="2"/>
  <c r="D107" i="2"/>
  <c r="E107" i="2"/>
  <c r="B112" i="2"/>
  <c r="E109" i="2"/>
  <c r="D109" i="2"/>
  <c r="D112" i="2" l="1"/>
  <c r="E112" i="2"/>
</calcChain>
</file>

<file path=xl/sharedStrings.xml><?xml version="1.0" encoding="utf-8"?>
<sst xmlns="http://schemas.openxmlformats.org/spreadsheetml/2006/main" count="935" uniqueCount="456">
  <si>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</si>
  <si>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</si>
  <si>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</si>
  <si>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</si>
  <si>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</si>
  <si>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</si>
  <si>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</si>
  <si>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  <charset val="136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</si>
  <si>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</si>
  <si>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  <charset val="136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</si>
  <si>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</si>
  <si>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</si>
  <si>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</si>
  <si>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</si>
  <si>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</si>
  <si>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</si>
  <si>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</si>
  <si>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</si>
  <si>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</si>
  <si>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</si>
  <si>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克</t>
    </r>
  </si>
  <si>
    <r>
      <t>百分比</t>
    </r>
    <r>
      <rPr>
        <sz val="12"/>
        <rFont val="Times New Roman"/>
        <family val="1"/>
      </rPr>
      <t>-%</t>
    </r>
  </si>
  <si>
    <t>一</t>
    <phoneticPr fontId="3" type="noConversion"/>
  </si>
  <si>
    <t>養樂多</t>
    <phoneticPr fontId="3" type="noConversion"/>
  </si>
  <si>
    <t xml:space="preserve"> </t>
    <phoneticPr fontId="3" type="noConversion"/>
  </si>
  <si>
    <t>肉圓</t>
    <phoneticPr fontId="3" type="noConversion"/>
  </si>
  <si>
    <t>肉園</t>
    <phoneticPr fontId="3" type="noConversion"/>
  </si>
  <si>
    <t>650~780</t>
    <phoneticPr fontId="3" type="noConversion"/>
  </si>
  <si>
    <t>19~25</t>
    <phoneticPr fontId="3" type="noConversion"/>
  </si>
  <si>
    <t>20~28</t>
    <phoneticPr fontId="3" type="noConversion"/>
  </si>
  <si>
    <t>98~115</t>
    <phoneticPr fontId="3" type="noConversion"/>
  </si>
  <si>
    <t>二</t>
    <phoneticPr fontId="3" type="noConversion"/>
  </si>
  <si>
    <t>全脂牛奶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</si>
  <si>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</si>
  <si>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</si>
  <si>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</si>
  <si>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平均</t>
    <phoneticPr fontId="3" type="noConversion"/>
  </si>
  <si>
    <r>
      <rPr>
        <sz val="10"/>
        <color indexed="10"/>
        <rFont val="標楷體"/>
        <family val="4"/>
        <charset val="136"/>
      </rPr>
      <t>老師的叮嚀</t>
    </r>
  </si>
  <si>
    <r>
      <rPr>
        <b/>
        <sz val="14"/>
        <rFont val="標楷體"/>
        <family val="4"/>
        <charset val="136"/>
      </rPr>
      <t>午餐執行秘書</t>
    </r>
  </si>
  <si>
    <r>
      <rPr>
        <sz val="12"/>
        <rFont val="標楷體"/>
        <family val="4"/>
        <charset val="136"/>
      </rPr>
      <t>材料</t>
    </r>
  </si>
  <si>
    <r>
      <rPr>
        <sz val="11"/>
        <rFont val="標楷體"/>
        <family val="4"/>
        <charset val="136"/>
      </rPr>
      <t>五</t>
    </r>
    <phoneticPr fontId="3" type="noConversion"/>
  </si>
  <si>
    <r>
      <rPr>
        <sz val="12"/>
        <rFont val="標楷體"/>
        <family val="4"/>
        <charset val="136"/>
      </rPr>
      <t>食物份數</t>
    </r>
    <phoneticPr fontId="3" type="noConversion"/>
  </si>
  <si>
    <r>
      <rPr>
        <sz val="12"/>
        <rFont val="標楷體"/>
        <family val="4"/>
        <charset val="136"/>
      </rPr>
      <t>豆魚肉蛋類</t>
    </r>
    <phoneticPr fontId="3" type="noConversion"/>
  </si>
  <si>
    <r>
      <rPr>
        <sz val="12"/>
        <rFont val="標楷體"/>
        <family val="4"/>
        <charset val="136"/>
      </rPr>
      <t>低脂乳品類</t>
    </r>
    <phoneticPr fontId="3" type="noConversion"/>
  </si>
  <si>
    <r>
      <rPr>
        <sz val="12"/>
        <rFont val="標楷體"/>
        <family val="4"/>
        <charset val="136"/>
      </rPr>
      <t>蔬菜類</t>
    </r>
    <phoneticPr fontId="3" type="noConversion"/>
  </si>
  <si>
    <r>
      <rPr>
        <sz val="12"/>
        <rFont val="標楷體"/>
        <family val="4"/>
        <charset val="136"/>
      </rPr>
      <t>水果類</t>
    </r>
    <phoneticPr fontId="3" type="noConversion"/>
  </si>
  <si>
    <r>
      <rPr>
        <sz val="12"/>
        <rFont val="標楷體"/>
        <family val="4"/>
        <charset val="136"/>
      </rPr>
      <t>熱量</t>
    </r>
    <phoneticPr fontId="3" type="noConversion"/>
  </si>
  <si>
    <r>
      <rPr>
        <sz val="12"/>
        <rFont val="標楷體"/>
        <family val="4"/>
        <charset val="136"/>
      </rPr>
      <t>公斤重</t>
    </r>
    <phoneticPr fontId="3" type="noConversion"/>
  </si>
  <si>
    <r>
      <rPr>
        <sz val="11"/>
        <color indexed="8"/>
        <rFont val="標楷體"/>
        <family val="4"/>
        <charset val="136"/>
      </rPr>
      <t>蒜粗</t>
    </r>
  </si>
  <si>
    <r>
      <rPr>
        <sz val="11"/>
        <rFont val="標楷體"/>
        <family val="4"/>
        <charset val="136"/>
      </rPr>
      <t>白蘿蔔</t>
    </r>
  </si>
  <si>
    <r>
      <rPr>
        <sz val="11"/>
        <rFont val="標楷體"/>
        <family val="4"/>
        <charset val="136"/>
      </rPr>
      <t>紅蘿蔔</t>
    </r>
    <phoneticPr fontId="3" type="noConversion"/>
  </si>
  <si>
    <r>
      <rPr>
        <sz val="11"/>
        <rFont val="標楷體"/>
        <family val="4"/>
        <charset val="136"/>
      </rPr>
      <t>油豆腐丁</t>
    </r>
    <phoneticPr fontId="3" type="noConversion"/>
  </si>
  <si>
    <r>
      <rPr>
        <sz val="11"/>
        <rFont val="標楷體"/>
        <family val="4"/>
        <charset val="136"/>
      </rPr>
      <t>白蘿蔔</t>
    </r>
    <phoneticPr fontId="3" type="noConversion"/>
  </si>
  <si>
    <r>
      <rPr>
        <sz val="11"/>
        <rFont val="標楷體"/>
        <family val="4"/>
        <charset val="136"/>
      </rPr>
      <t>香菜</t>
    </r>
    <phoneticPr fontId="3" type="noConversion"/>
  </si>
  <si>
    <r>
      <rPr>
        <sz val="11"/>
        <color indexed="8"/>
        <rFont val="標楷體"/>
        <family val="4"/>
        <charset val="136"/>
      </rPr>
      <t>薑末</t>
    </r>
    <phoneticPr fontId="3" type="noConversion"/>
  </si>
  <si>
    <r>
      <rPr>
        <sz val="11"/>
        <rFont val="標楷體"/>
        <family val="4"/>
        <charset val="136"/>
      </rPr>
      <t>麵腸</t>
    </r>
  </si>
  <si>
    <r>
      <rPr>
        <sz val="11"/>
        <rFont val="標楷體"/>
        <family val="4"/>
        <charset val="136"/>
      </rPr>
      <t>薑絲</t>
    </r>
  </si>
  <si>
    <r>
      <rPr>
        <sz val="11"/>
        <rFont val="標楷體"/>
        <family val="4"/>
        <charset val="136"/>
      </rPr>
      <t>高麗菜</t>
    </r>
    <phoneticPr fontId="3" type="noConversion"/>
  </si>
  <si>
    <r>
      <rPr>
        <sz val="11"/>
        <rFont val="標楷體"/>
        <family val="4"/>
        <charset val="136"/>
      </rPr>
      <t>芹菜</t>
    </r>
    <phoneticPr fontId="3" type="noConversion"/>
  </si>
  <si>
    <r>
      <t>1</t>
    </r>
    <r>
      <rPr>
        <sz val="11"/>
        <color indexed="8"/>
        <rFont val="標楷體"/>
        <family val="4"/>
        <charset val="136"/>
      </rPr>
      <t>包</t>
    </r>
    <phoneticPr fontId="3" type="noConversion"/>
  </si>
  <si>
    <r>
      <rPr>
        <sz val="11"/>
        <color indexed="8"/>
        <rFont val="標楷體"/>
        <family val="4"/>
        <charset val="136"/>
      </rPr>
      <t>西谷米</t>
    </r>
    <phoneticPr fontId="3" type="noConversion"/>
  </si>
  <si>
    <r>
      <rPr>
        <sz val="11"/>
        <color indexed="8"/>
        <rFont val="標楷體"/>
        <family val="4"/>
        <charset val="136"/>
      </rPr>
      <t>黑糖</t>
    </r>
    <phoneticPr fontId="3" type="noConversion"/>
  </si>
  <si>
    <r>
      <rPr>
        <sz val="11"/>
        <rFont val="標楷體"/>
        <family val="4"/>
        <charset val="136"/>
      </rPr>
      <t>豆干片</t>
    </r>
    <phoneticPr fontId="3" type="noConversion"/>
  </si>
  <si>
    <r>
      <rPr>
        <sz val="11"/>
        <rFont val="標楷體"/>
        <family val="4"/>
        <charset val="136"/>
      </rPr>
      <t>蒜粗</t>
    </r>
    <phoneticPr fontId="3" type="noConversion"/>
  </si>
  <si>
    <r>
      <rPr>
        <sz val="11"/>
        <rFont val="標楷體"/>
        <family val="4"/>
        <charset val="136"/>
      </rPr>
      <t>大白菜</t>
    </r>
    <phoneticPr fontId="3" type="noConversion"/>
  </si>
  <si>
    <r>
      <rPr>
        <sz val="11"/>
        <rFont val="標楷體"/>
        <family val="4"/>
        <charset val="136"/>
      </rPr>
      <t>翅小腿</t>
    </r>
    <phoneticPr fontId="3" type="noConversion"/>
  </si>
  <si>
    <r>
      <rPr>
        <sz val="11"/>
        <rFont val="標楷體"/>
        <family val="4"/>
        <charset val="136"/>
      </rPr>
      <t>南瓜</t>
    </r>
    <phoneticPr fontId="3" type="noConversion"/>
  </si>
  <si>
    <r>
      <rPr>
        <sz val="11"/>
        <rFont val="標楷體"/>
        <family val="4"/>
        <charset val="136"/>
      </rPr>
      <t>豆芽菜</t>
    </r>
    <phoneticPr fontId="3" type="noConversion"/>
  </si>
  <si>
    <r>
      <rPr>
        <sz val="11"/>
        <rFont val="標楷體"/>
        <family val="4"/>
        <charset val="136"/>
      </rPr>
      <t>黑胡椒粒</t>
    </r>
    <phoneticPr fontId="3" type="noConversion"/>
  </si>
  <si>
    <r>
      <t>1</t>
    </r>
    <r>
      <rPr>
        <sz val="11"/>
        <rFont val="標楷體"/>
        <family val="4"/>
        <charset val="136"/>
      </rPr>
      <t>盒</t>
    </r>
    <phoneticPr fontId="3" type="noConversion"/>
  </si>
  <si>
    <r>
      <rPr>
        <sz val="11"/>
        <rFont val="標楷體"/>
        <family val="4"/>
        <charset val="136"/>
      </rPr>
      <t>紅蘿蔔</t>
    </r>
    <phoneticPr fontId="3" type="noConversion"/>
  </si>
  <si>
    <r>
      <rPr>
        <sz val="11"/>
        <rFont val="標楷體"/>
        <family val="4"/>
        <charset val="136"/>
      </rPr>
      <t>百頁豆腐</t>
    </r>
    <phoneticPr fontId="3" type="noConversion"/>
  </si>
  <si>
    <r>
      <rPr>
        <sz val="11"/>
        <rFont val="標楷體"/>
        <family val="4"/>
        <charset val="136"/>
      </rPr>
      <t>板豆腐</t>
    </r>
    <phoneticPr fontId="3" type="noConversion"/>
  </si>
  <si>
    <r>
      <rPr>
        <sz val="11"/>
        <rFont val="標楷體"/>
        <family val="4"/>
        <charset val="136"/>
      </rPr>
      <t>山藥</t>
    </r>
    <phoneticPr fontId="3" type="noConversion"/>
  </si>
  <si>
    <r>
      <rPr>
        <sz val="11"/>
        <rFont val="標楷體"/>
        <family val="4"/>
        <charset val="136"/>
      </rPr>
      <t>雞架</t>
    </r>
    <phoneticPr fontId="3" type="noConversion"/>
  </si>
  <si>
    <r>
      <rPr>
        <sz val="11"/>
        <rFont val="標楷體"/>
        <family val="4"/>
        <charset val="136"/>
      </rPr>
      <t>薑絲</t>
    </r>
    <phoneticPr fontId="3" type="noConversion"/>
  </si>
  <si>
    <r>
      <rPr>
        <sz val="11"/>
        <rFont val="標楷體"/>
        <family val="4"/>
        <charset val="136"/>
      </rPr>
      <t>本月用餐天數</t>
    </r>
    <phoneticPr fontId="3" type="noConversion"/>
  </si>
  <si>
    <r>
      <t>108</t>
    </r>
    <r>
      <rPr>
        <b/>
        <sz val="11"/>
        <rFont val="標楷體"/>
        <family val="4"/>
        <charset val="136"/>
      </rPr>
      <t>學年度第</t>
    </r>
    <r>
      <rPr>
        <b/>
        <sz val="11"/>
        <rFont val="Book Antiqua"/>
        <family val="1"/>
      </rPr>
      <t>1</t>
    </r>
    <r>
      <rPr>
        <b/>
        <sz val="11"/>
        <rFont val="標楷體"/>
        <family val="4"/>
        <charset val="136"/>
      </rPr>
      <t>學期第</t>
    </r>
    <r>
      <rPr>
        <b/>
        <sz val="11"/>
        <rFont val="Book Antiqua"/>
        <family val="1"/>
      </rPr>
      <t>15</t>
    </r>
    <r>
      <rPr>
        <b/>
        <sz val="11"/>
        <rFont val="標楷體"/>
        <family val="4"/>
        <charset val="136"/>
      </rPr>
      <t>週</t>
    </r>
    <phoneticPr fontId="3" type="noConversion"/>
  </si>
  <si>
    <r>
      <rPr>
        <b/>
        <sz val="11"/>
        <rFont val="標楷體"/>
        <family val="4"/>
        <charset val="136"/>
      </rPr>
      <t>學童營養午餐食譜設計表</t>
    </r>
    <phoneticPr fontId="3" type="noConversion"/>
  </si>
  <si>
    <r>
      <rPr>
        <sz val="11"/>
        <rFont val="標楷體"/>
        <family val="4"/>
        <charset val="136"/>
      </rPr>
      <t>本週用餐天數</t>
    </r>
    <phoneticPr fontId="3" type="noConversion"/>
  </si>
  <si>
    <r>
      <rPr>
        <sz val="11"/>
        <rFont val="標楷體"/>
        <family val="4"/>
        <charset val="136"/>
      </rPr>
      <t>星期</t>
    </r>
    <phoneticPr fontId="3" type="noConversion"/>
  </si>
  <si>
    <r>
      <rPr>
        <sz val="11"/>
        <rFont val="標楷體"/>
        <family val="4"/>
        <charset val="136"/>
      </rPr>
      <t>主食</t>
    </r>
    <phoneticPr fontId="3" type="noConversion"/>
  </si>
  <si>
    <r>
      <rPr>
        <sz val="11"/>
        <rFont val="標楷體"/>
        <family val="4"/>
        <charset val="136"/>
      </rPr>
      <t>菜</t>
    </r>
    <r>
      <rPr>
        <sz val="11"/>
        <rFont val="Book Antiqua"/>
        <family val="1"/>
      </rPr>
      <t xml:space="preserve">                    </t>
    </r>
    <r>
      <rPr>
        <sz val="11"/>
        <rFont val="標楷體"/>
        <family val="4"/>
        <charset val="136"/>
      </rPr>
      <t>餚</t>
    </r>
    <phoneticPr fontId="3" type="noConversion"/>
  </si>
  <si>
    <r>
      <rPr>
        <sz val="11"/>
        <rFont val="標楷體"/>
        <family val="4"/>
        <charset val="136"/>
      </rPr>
      <t>供應量</t>
    </r>
    <phoneticPr fontId="3" type="noConversion"/>
  </si>
  <si>
    <r>
      <rPr>
        <sz val="11"/>
        <rFont val="標楷體"/>
        <family val="4"/>
        <charset val="136"/>
      </rPr>
      <t>喜</t>
    </r>
    <r>
      <rPr>
        <sz val="11"/>
        <rFont val="Book Antiqua"/>
        <family val="1"/>
      </rPr>
      <t xml:space="preserve">  </t>
    </r>
    <r>
      <rPr>
        <sz val="11"/>
        <rFont val="標楷體"/>
        <family val="4"/>
        <charset val="136"/>
      </rPr>
      <t>歡</t>
    </r>
    <r>
      <rPr>
        <sz val="11"/>
        <rFont val="Book Antiqua"/>
        <family val="1"/>
      </rPr>
      <t xml:space="preserve">  ?</t>
    </r>
    <phoneticPr fontId="3" type="noConversion"/>
  </si>
  <si>
    <r>
      <rPr>
        <sz val="11"/>
        <rFont val="標楷體"/>
        <family val="4"/>
        <charset val="136"/>
      </rPr>
      <t>備</t>
    </r>
    <r>
      <rPr>
        <sz val="11"/>
        <rFont val="Book Antiqua"/>
        <family val="1"/>
      </rPr>
      <t xml:space="preserve">  </t>
    </r>
    <r>
      <rPr>
        <sz val="11"/>
        <rFont val="標楷體"/>
        <family val="4"/>
        <charset val="136"/>
      </rPr>
      <t>註</t>
    </r>
    <phoneticPr fontId="3" type="noConversion"/>
  </si>
  <si>
    <r>
      <rPr>
        <sz val="12"/>
        <rFont val="標楷體"/>
        <family val="4"/>
        <charset val="136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  <charset val="136"/>
      </rPr>
      <t>名</t>
    </r>
    <phoneticPr fontId="3" type="noConversion"/>
  </si>
  <si>
    <r>
      <rPr>
        <sz val="11"/>
        <rFont val="標楷體"/>
        <family val="4"/>
        <charset val="136"/>
      </rPr>
      <t>過多</t>
    </r>
    <phoneticPr fontId="3" type="noConversion"/>
  </si>
  <si>
    <r>
      <rPr>
        <sz val="11"/>
        <rFont val="標楷體"/>
        <family val="4"/>
        <charset val="136"/>
      </rPr>
      <t>剛好</t>
    </r>
    <phoneticPr fontId="3" type="noConversion"/>
  </si>
  <si>
    <r>
      <rPr>
        <sz val="11"/>
        <rFont val="標楷體"/>
        <family val="4"/>
        <charset val="136"/>
      </rPr>
      <t>不足</t>
    </r>
    <phoneticPr fontId="3" type="noConversion"/>
  </si>
  <si>
    <r>
      <rPr>
        <sz val="11"/>
        <rFont val="標楷體"/>
        <family val="4"/>
        <charset val="136"/>
      </rPr>
      <t>很喜歡</t>
    </r>
    <phoneticPr fontId="3" type="noConversion"/>
  </si>
  <si>
    <r>
      <rPr>
        <sz val="11"/>
        <rFont val="標楷體"/>
        <family val="4"/>
        <charset val="136"/>
      </rPr>
      <t>喜歡</t>
    </r>
    <phoneticPr fontId="3" type="noConversion"/>
  </si>
  <si>
    <r>
      <rPr>
        <sz val="11"/>
        <rFont val="標楷體"/>
        <family val="4"/>
        <charset val="136"/>
      </rPr>
      <t>尚可</t>
    </r>
    <phoneticPr fontId="3" type="noConversion"/>
  </si>
  <si>
    <r>
      <rPr>
        <sz val="11"/>
        <rFont val="標楷體"/>
        <family val="4"/>
        <charset val="136"/>
      </rPr>
      <t>討厭</t>
    </r>
    <phoneticPr fontId="3" type="noConversion"/>
  </si>
  <si>
    <r>
      <rPr>
        <sz val="11"/>
        <rFont val="標楷體"/>
        <family val="4"/>
        <charset val="136"/>
      </rPr>
      <t>很討厭</t>
    </r>
    <phoneticPr fontId="3" type="noConversion"/>
  </si>
  <si>
    <r>
      <rPr>
        <sz val="12"/>
        <rFont val="標楷體"/>
        <family val="4"/>
        <charset val="136"/>
      </rPr>
      <t>全榖根莖類</t>
    </r>
    <phoneticPr fontId="3" type="noConversion"/>
  </si>
  <si>
    <r>
      <rPr>
        <sz val="7"/>
        <rFont val="標楷體"/>
        <family val="4"/>
        <charset val="136"/>
      </rPr>
      <t>果種子類油脂與堅</t>
    </r>
    <phoneticPr fontId="3" type="noConversion"/>
  </si>
  <si>
    <r>
      <rPr>
        <sz val="12"/>
        <rFont val="標楷體"/>
        <family val="4"/>
        <charset val="136"/>
      </rPr>
      <t>一</t>
    </r>
    <phoneticPr fontId="3" type="noConversion"/>
  </si>
  <si>
    <r>
      <rPr>
        <sz val="12"/>
        <rFont val="標楷體"/>
        <family val="4"/>
        <charset val="136"/>
      </rPr>
      <t>白飯</t>
    </r>
    <phoneticPr fontId="3" type="noConversion"/>
  </si>
  <si>
    <r>
      <rPr>
        <sz val="11"/>
        <color indexed="8"/>
        <rFont val="標楷體"/>
        <family val="4"/>
        <charset val="136"/>
      </rPr>
      <t>雞腿丁</t>
    </r>
    <phoneticPr fontId="3" type="noConversion"/>
  </si>
  <si>
    <r>
      <rPr>
        <sz val="11"/>
        <color indexed="8"/>
        <rFont val="標楷體"/>
        <family val="4"/>
        <charset val="136"/>
      </rPr>
      <t>甜麵醬</t>
    </r>
    <phoneticPr fontId="3" type="noConversion"/>
  </si>
  <si>
    <r>
      <t>1</t>
    </r>
    <r>
      <rPr>
        <sz val="11"/>
        <color indexed="8"/>
        <rFont val="標楷體"/>
        <family val="4"/>
        <charset val="136"/>
      </rPr>
      <t>盒</t>
    </r>
    <phoneticPr fontId="3" type="noConversion"/>
  </si>
  <si>
    <r>
      <rPr>
        <sz val="11"/>
        <color indexed="8"/>
        <rFont val="標楷體"/>
        <family val="4"/>
        <charset val="136"/>
      </rPr>
      <t>蒜粗</t>
    </r>
    <phoneticPr fontId="3" type="noConversion"/>
  </si>
  <si>
    <r>
      <rPr>
        <sz val="11"/>
        <rFont val="標楷體"/>
        <family val="4"/>
        <charset val="136"/>
      </rPr>
      <t>蝦米</t>
    </r>
    <phoneticPr fontId="3" type="noConversion"/>
  </si>
  <si>
    <r>
      <rPr>
        <sz val="12"/>
        <rFont val="標楷體"/>
        <family val="4"/>
        <charset val="136"/>
      </rPr>
      <t>炒時蔬</t>
    </r>
    <phoneticPr fontId="3" type="noConversion"/>
  </si>
  <si>
    <r>
      <rPr>
        <sz val="10"/>
        <color indexed="16"/>
        <rFont val="標楷體"/>
        <family val="4"/>
        <charset val="136"/>
      </rPr>
      <t>扁蒲含有豐富的水分，熱量極低，在令人心浮氣躁與火氣上升的炎熱夏天非常適合食用，且柔軟多汁的匏瓜容易消化，也非常適合成長中的孩童食用。</t>
    </r>
    <phoneticPr fontId="3" type="noConversion"/>
  </si>
  <si>
    <r>
      <rPr>
        <sz val="12"/>
        <rFont val="標楷體"/>
        <family val="4"/>
        <charset val="136"/>
      </rPr>
      <t>二</t>
    </r>
    <phoneticPr fontId="3" type="noConversion"/>
  </si>
  <si>
    <r>
      <rPr>
        <sz val="11"/>
        <rFont val="標楷體"/>
        <family val="4"/>
        <charset val="136"/>
      </rPr>
      <t>榨菜絲</t>
    </r>
    <phoneticPr fontId="3" type="noConversion"/>
  </si>
  <si>
    <r>
      <rPr>
        <sz val="11"/>
        <rFont val="標楷體"/>
        <family val="4"/>
        <charset val="136"/>
      </rPr>
      <t>黑木耳</t>
    </r>
    <phoneticPr fontId="3" type="noConversion"/>
  </si>
  <si>
    <r>
      <rPr>
        <sz val="11"/>
        <rFont val="標楷體"/>
        <family val="4"/>
        <charset val="136"/>
      </rPr>
      <t>龍骨</t>
    </r>
    <phoneticPr fontId="3" type="noConversion"/>
  </si>
  <si>
    <r>
      <rPr>
        <sz val="11"/>
        <rFont val="標楷體"/>
        <family val="4"/>
        <charset val="136"/>
      </rPr>
      <t>大頭菜</t>
    </r>
    <phoneticPr fontId="3" type="noConversion"/>
  </si>
  <si>
    <r>
      <rPr>
        <sz val="12"/>
        <rFont val="標楷體"/>
        <family val="4"/>
        <charset val="136"/>
      </rPr>
      <t>三</t>
    </r>
    <phoneticPr fontId="3" type="noConversion"/>
  </si>
  <si>
    <r>
      <rPr>
        <sz val="11"/>
        <rFont val="標楷體"/>
        <family val="4"/>
        <charset val="136"/>
      </rPr>
      <t>豬肉絲</t>
    </r>
    <phoneticPr fontId="3" type="noConversion"/>
  </si>
  <si>
    <r>
      <rPr>
        <sz val="11"/>
        <rFont val="標楷體"/>
        <family val="4"/>
        <charset val="136"/>
      </rPr>
      <t>洋蔥</t>
    </r>
  </si>
  <si>
    <r>
      <rPr>
        <sz val="11"/>
        <rFont val="標楷體"/>
        <family val="4"/>
        <charset val="136"/>
      </rPr>
      <t>紅蘿蔔</t>
    </r>
  </si>
  <si>
    <r>
      <rPr>
        <sz val="12"/>
        <rFont val="標楷體"/>
        <family val="4"/>
        <charset val="136"/>
      </rPr>
      <t>炒時蔬</t>
    </r>
    <phoneticPr fontId="3" type="noConversion"/>
  </si>
  <si>
    <r>
      <rPr>
        <sz val="11"/>
        <rFont val="標楷體"/>
        <family val="4"/>
        <charset val="136"/>
      </rPr>
      <t>甜不辣條</t>
    </r>
    <phoneticPr fontId="3" type="noConversion"/>
  </si>
  <si>
    <r>
      <rPr>
        <sz val="10"/>
        <color indexed="16"/>
        <rFont val="標楷體"/>
        <family val="4"/>
        <charset val="136"/>
      </rPr>
      <t>水果含有豐富的維生素</t>
    </r>
    <r>
      <rPr>
        <sz val="10"/>
        <color indexed="16"/>
        <rFont val="Book Antiqua"/>
        <family val="1"/>
      </rPr>
      <t>C</t>
    </r>
    <r>
      <rPr>
        <sz val="10"/>
        <color indexed="16"/>
        <rFont val="標楷體"/>
        <family val="4"/>
        <charset val="136"/>
      </rPr>
      <t>、維生素</t>
    </r>
    <r>
      <rPr>
        <sz val="10"/>
        <color indexed="16"/>
        <rFont val="Book Antiqua"/>
        <family val="1"/>
      </rPr>
      <t>A</t>
    </r>
    <r>
      <rPr>
        <sz val="10"/>
        <color indexed="16"/>
        <rFont val="標楷體"/>
        <family val="4"/>
        <charset val="136"/>
      </rPr>
      <t>以及人體必需的各種礦物質，可以促進健康、增強孩子的免疫力</t>
    </r>
    <phoneticPr fontId="3" type="noConversion"/>
  </si>
  <si>
    <r>
      <rPr>
        <sz val="12"/>
        <rFont val="標楷體"/>
        <family val="4"/>
        <charset val="136"/>
      </rPr>
      <t>四</t>
    </r>
    <phoneticPr fontId="3" type="noConversion"/>
  </si>
  <si>
    <r>
      <rPr>
        <sz val="11"/>
        <color indexed="8"/>
        <rFont val="標楷體"/>
        <family val="4"/>
        <charset val="136"/>
      </rPr>
      <t>紅蘿蔔</t>
    </r>
    <phoneticPr fontId="3" type="noConversion"/>
  </si>
  <si>
    <r>
      <rPr>
        <sz val="11"/>
        <rFont val="標楷體"/>
        <family val="4"/>
        <charset val="136"/>
      </rPr>
      <t>沙茶醬</t>
    </r>
    <phoneticPr fontId="3" type="noConversion"/>
  </si>
  <si>
    <r>
      <rPr>
        <sz val="11"/>
        <rFont val="標楷體"/>
        <family val="4"/>
        <charset val="136"/>
      </rPr>
      <t>寬粉</t>
    </r>
    <phoneticPr fontId="3" type="noConversion"/>
  </si>
  <si>
    <r>
      <rPr>
        <sz val="10"/>
        <color indexed="10"/>
        <rFont val="標楷體"/>
        <family val="4"/>
        <charset val="136"/>
      </rPr>
      <t>老師的叮嚀</t>
    </r>
    <phoneticPr fontId="3" type="noConversion"/>
  </si>
  <si>
    <r>
      <rPr>
        <sz val="10"/>
        <color indexed="16"/>
        <rFont val="標楷體"/>
        <family val="4"/>
        <charset val="136"/>
      </rPr>
      <t>雞蛋含有人體需要的幾乎所有的營養物質，故被稱作「理想的營養庫」。雞蛋中含有豐富的</t>
    </r>
    <r>
      <rPr>
        <sz val="10"/>
        <color indexed="16"/>
        <rFont val="Book Antiqua"/>
        <family val="1"/>
      </rPr>
      <t>DHA</t>
    </r>
    <r>
      <rPr>
        <sz val="10"/>
        <color indexed="16"/>
        <rFont val="標楷體"/>
        <family val="4"/>
        <charset val="136"/>
      </rPr>
      <t>和卵磷脂等，能健腦益智，對於發育中的兒童，是補充營養的良好食材。</t>
    </r>
    <phoneticPr fontId="3" type="noConversion"/>
  </si>
  <si>
    <r>
      <rPr>
        <sz val="11"/>
        <rFont val="標楷體"/>
        <family val="4"/>
        <charset val="136"/>
      </rPr>
      <t>豬肉丁</t>
    </r>
    <phoneticPr fontId="3" type="noConversion"/>
  </si>
  <si>
    <r>
      <rPr>
        <sz val="11"/>
        <rFont val="標楷體"/>
        <family val="4"/>
        <charset val="136"/>
      </rPr>
      <t>豆干丁</t>
    </r>
    <phoneticPr fontId="3" type="noConversion"/>
  </si>
  <si>
    <r>
      <rPr>
        <sz val="11"/>
        <color indexed="8"/>
        <rFont val="標楷體"/>
        <family val="4"/>
        <charset val="136"/>
      </rPr>
      <t>雞蛋</t>
    </r>
    <phoneticPr fontId="3" type="noConversion"/>
  </si>
  <si>
    <r>
      <rPr>
        <sz val="11"/>
        <color indexed="8"/>
        <rFont val="標楷體"/>
        <family val="4"/>
        <charset val="136"/>
      </rPr>
      <t>黑木耳</t>
    </r>
    <phoneticPr fontId="3" type="noConversion"/>
  </si>
  <si>
    <r>
      <rPr>
        <sz val="11"/>
        <color indexed="8"/>
        <rFont val="標楷體"/>
        <family val="4"/>
        <charset val="136"/>
      </rPr>
      <t>筍籤</t>
    </r>
    <phoneticPr fontId="3" type="noConversion"/>
  </si>
  <si>
    <r>
      <rPr>
        <sz val="11"/>
        <color indexed="8"/>
        <rFont val="標楷體"/>
        <family val="4"/>
        <charset val="136"/>
      </rPr>
      <t>豬血</t>
    </r>
    <phoneticPr fontId="3" type="noConversion"/>
  </si>
  <si>
    <r>
      <rPr>
        <sz val="11"/>
        <color indexed="10"/>
        <rFont val="標楷體"/>
        <family val="4"/>
        <charset val="136"/>
      </rPr>
      <t>營養標準參照</t>
    </r>
    <phoneticPr fontId="3" type="noConversion"/>
  </si>
  <si>
    <r>
      <rPr>
        <b/>
        <sz val="11"/>
        <color rgb="FFFF0000"/>
        <rFont val="標楷體"/>
        <family val="4"/>
        <charset val="136"/>
      </rPr>
      <t>衛生福利部</t>
    </r>
    <r>
      <rPr>
        <b/>
        <sz val="11"/>
        <color rgb="FFFF0000"/>
        <rFont val="Book Antiqua"/>
        <family val="1"/>
      </rPr>
      <t xml:space="preserve"> </t>
    </r>
    <r>
      <rPr>
        <b/>
        <sz val="11"/>
        <color rgb="FFFF0000"/>
        <rFont val="標楷體"/>
        <family val="4"/>
        <charset val="136"/>
      </rPr>
      <t>國民健康署「每日飲食指南」</t>
    </r>
    <phoneticPr fontId="3" type="noConversion"/>
  </si>
  <si>
    <r>
      <rPr>
        <b/>
        <sz val="12"/>
        <rFont val="標楷體"/>
        <family val="4"/>
        <charset val="136"/>
      </rPr>
      <t>小朋友要多吃飯才健康喔</t>
    </r>
    <r>
      <rPr>
        <b/>
        <sz val="12"/>
        <rFont val="Book Antiqua"/>
        <family val="1"/>
      </rPr>
      <t>!</t>
    </r>
    <phoneticPr fontId="3" type="noConversion"/>
  </si>
  <si>
    <r>
      <rPr>
        <b/>
        <sz val="14"/>
        <rFont val="標楷體"/>
        <family val="4"/>
        <charset val="136"/>
      </rPr>
      <t>供應商營養師</t>
    </r>
    <r>
      <rPr>
        <b/>
        <sz val="14"/>
        <rFont val="Book Antiqua"/>
        <family val="1"/>
      </rPr>
      <t>:</t>
    </r>
    <r>
      <rPr>
        <b/>
        <sz val="14"/>
        <rFont val="標楷體"/>
        <family val="4"/>
        <charset val="136"/>
      </rPr>
      <t>王子瑄</t>
    </r>
    <phoneticPr fontId="3" type="noConversion"/>
  </si>
  <si>
    <r>
      <rPr>
        <b/>
        <sz val="16"/>
        <rFont val="標楷體"/>
        <family val="4"/>
        <charset val="136"/>
      </rPr>
      <t>校</t>
    </r>
    <r>
      <rPr>
        <b/>
        <sz val="16"/>
        <rFont val="Book Antiqua"/>
        <family val="1"/>
      </rPr>
      <t xml:space="preserve">  </t>
    </r>
    <r>
      <rPr>
        <b/>
        <sz val="16"/>
        <rFont val="標楷體"/>
        <family val="4"/>
        <charset val="136"/>
      </rPr>
      <t>長</t>
    </r>
    <phoneticPr fontId="3" type="noConversion"/>
  </si>
  <si>
    <t>日期</t>
    <phoneticPr fontId="3" type="noConversion"/>
  </si>
  <si>
    <r>
      <rPr>
        <sz val="12"/>
        <rFont val="標楷體"/>
        <family val="4"/>
        <charset val="136"/>
      </rPr>
      <t>本月用餐天數</t>
    </r>
    <phoneticPr fontId="3" type="noConversion"/>
  </si>
  <si>
    <r>
      <t>108</t>
    </r>
    <r>
      <rPr>
        <b/>
        <sz val="12"/>
        <rFont val="標楷體"/>
        <family val="4"/>
        <charset val="136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  <charset val="136"/>
      </rPr>
      <t>學期第</t>
    </r>
    <r>
      <rPr>
        <b/>
        <sz val="12"/>
        <rFont val="Book Antiqua"/>
        <family val="1"/>
      </rPr>
      <t>16</t>
    </r>
    <r>
      <rPr>
        <b/>
        <sz val="12"/>
        <rFont val="標楷體"/>
        <family val="4"/>
        <charset val="136"/>
      </rPr>
      <t>週</t>
    </r>
    <phoneticPr fontId="3" type="noConversion"/>
  </si>
  <si>
    <r>
      <rPr>
        <b/>
        <sz val="12"/>
        <rFont val="標楷體"/>
        <family val="4"/>
        <charset val="136"/>
      </rPr>
      <t>學童營養午餐食譜設計表</t>
    </r>
    <phoneticPr fontId="3" type="noConversion"/>
  </si>
  <si>
    <r>
      <rPr>
        <sz val="12"/>
        <rFont val="標楷體"/>
        <family val="4"/>
        <charset val="136"/>
      </rPr>
      <t>本週用餐天數</t>
    </r>
    <phoneticPr fontId="3" type="noConversion"/>
  </si>
  <si>
    <r>
      <rPr>
        <sz val="12"/>
        <rFont val="標楷體"/>
        <family val="4"/>
        <charset val="136"/>
      </rPr>
      <t>星期</t>
    </r>
    <phoneticPr fontId="3" type="noConversion"/>
  </si>
  <si>
    <r>
      <rPr>
        <sz val="12"/>
        <rFont val="標楷體"/>
        <family val="4"/>
        <charset val="136"/>
      </rPr>
      <t>主食</t>
    </r>
    <phoneticPr fontId="3" type="noConversion"/>
  </si>
  <si>
    <r>
      <rPr>
        <sz val="12"/>
        <rFont val="標楷體"/>
        <family val="4"/>
        <charset val="136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  <charset val="136"/>
      </rPr>
      <t>餚</t>
    </r>
    <phoneticPr fontId="3" type="noConversion"/>
  </si>
  <si>
    <r>
      <rPr>
        <sz val="12"/>
        <rFont val="標楷體"/>
        <family val="4"/>
        <charset val="136"/>
      </rPr>
      <t>供應量</t>
    </r>
    <phoneticPr fontId="3" type="noConversion"/>
  </si>
  <si>
    <r>
      <rPr>
        <sz val="12"/>
        <rFont val="標楷體"/>
        <family val="4"/>
        <charset val="136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  <charset val="136"/>
      </rPr>
      <t>歡</t>
    </r>
    <r>
      <rPr>
        <sz val="12"/>
        <rFont val="Book Antiqua"/>
        <family val="1"/>
      </rPr>
      <t xml:space="preserve">  ?</t>
    </r>
    <phoneticPr fontId="3" type="noConversion"/>
  </si>
  <si>
    <r>
      <rPr>
        <sz val="12"/>
        <rFont val="標楷體"/>
        <family val="4"/>
        <charset val="136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  <charset val="136"/>
      </rPr>
      <t>註</t>
    </r>
    <phoneticPr fontId="3" type="noConversion"/>
  </si>
  <si>
    <r>
      <rPr>
        <sz val="12"/>
        <rFont val="標楷體"/>
        <family val="4"/>
        <charset val="136"/>
      </rPr>
      <t>過多</t>
    </r>
    <phoneticPr fontId="3" type="noConversion"/>
  </si>
  <si>
    <r>
      <rPr>
        <sz val="12"/>
        <rFont val="標楷體"/>
        <family val="4"/>
        <charset val="136"/>
      </rPr>
      <t>剛好</t>
    </r>
    <phoneticPr fontId="3" type="noConversion"/>
  </si>
  <si>
    <r>
      <rPr>
        <sz val="12"/>
        <rFont val="標楷體"/>
        <family val="4"/>
        <charset val="136"/>
      </rPr>
      <t>不足</t>
    </r>
    <phoneticPr fontId="3" type="noConversion"/>
  </si>
  <si>
    <r>
      <rPr>
        <sz val="12"/>
        <rFont val="標楷體"/>
        <family val="4"/>
        <charset val="136"/>
      </rPr>
      <t>很喜歡</t>
    </r>
    <phoneticPr fontId="3" type="noConversion"/>
  </si>
  <si>
    <r>
      <rPr>
        <sz val="12"/>
        <rFont val="標楷體"/>
        <family val="4"/>
        <charset val="136"/>
      </rPr>
      <t>喜歡</t>
    </r>
    <phoneticPr fontId="3" type="noConversion"/>
  </si>
  <si>
    <r>
      <rPr>
        <sz val="12"/>
        <rFont val="標楷體"/>
        <family val="4"/>
        <charset val="136"/>
      </rPr>
      <t>尚可</t>
    </r>
    <phoneticPr fontId="3" type="noConversion"/>
  </si>
  <si>
    <r>
      <rPr>
        <sz val="12"/>
        <rFont val="標楷體"/>
        <family val="4"/>
        <charset val="136"/>
      </rPr>
      <t>討厭</t>
    </r>
    <phoneticPr fontId="3" type="noConversion"/>
  </si>
  <si>
    <r>
      <rPr>
        <sz val="12"/>
        <rFont val="標楷體"/>
        <family val="4"/>
        <charset val="136"/>
      </rPr>
      <t>很討厭</t>
    </r>
    <phoneticPr fontId="3" type="noConversion"/>
  </si>
  <si>
    <r>
      <rPr>
        <sz val="11"/>
        <rFont val="標楷體"/>
        <family val="4"/>
        <charset val="136"/>
      </rPr>
      <t>白酸菜</t>
    </r>
    <phoneticPr fontId="3" type="noConversion"/>
  </si>
  <si>
    <r>
      <rPr>
        <sz val="11"/>
        <rFont val="標楷體"/>
        <family val="4"/>
        <charset val="136"/>
      </rPr>
      <t>紫菜</t>
    </r>
    <phoneticPr fontId="3" type="noConversion"/>
  </si>
  <si>
    <r>
      <rPr>
        <sz val="11"/>
        <rFont val="標楷體"/>
        <family val="4"/>
        <charset val="136"/>
      </rPr>
      <t>雞蛋</t>
    </r>
    <phoneticPr fontId="3" type="noConversion"/>
  </si>
  <si>
    <r>
      <rPr>
        <sz val="12"/>
        <rFont val="標楷體"/>
        <family val="4"/>
        <charset val="136"/>
      </rPr>
      <t>二</t>
    </r>
    <phoneticPr fontId="3" type="noConversion"/>
  </si>
  <si>
    <r>
      <rPr>
        <sz val="12"/>
        <rFont val="標楷體"/>
        <family val="4"/>
        <charset val="136"/>
      </rPr>
      <t>炒時蔬</t>
    </r>
    <phoneticPr fontId="3" type="noConversion"/>
  </si>
  <si>
    <r>
      <rPr>
        <sz val="11"/>
        <color indexed="8"/>
        <rFont val="標楷體"/>
        <family val="4"/>
        <charset val="136"/>
      </rPr>
      <t>雞蛋</t>
    </r>
  </si>
  <si>
    <r>
      <rPr>
        <sz val="11"/>
        <color indexed="8"/>
        <rFont val="標楷體"/>
        <family val="4"/>
        <charset val="136"/>
      </rPr>
      <t>黑木耳</t>
    </r>
  </si>
  <si>
    <r>
      <rPr>
        <sz val="11"/>
        <color indexed="8"/>
        <rFont val="標楷體"/>
        <family val="4"/>
        <charset val="136"/>
      </rPr>
      <t>板豆腐</t>
    </r>
  </si>
  <si>
    <r>
      <rPr>
        <sz val="11"/>
        <color indexed="8"/>
        <rFont val="標楷體"/>
        <family val="4"/>
        <charset val="136"/>
      </rPr>
      <t>紅蘿蔔</t>
    </r>
  </si>
  <si>
    <r>
      <rPr>
        <sz val="11"/>
        <color indexed="8"/>
        <rFont val="標楷體"/>
        <family val="4"/>
        <charset val="136"/>
      </rPr>
      <t>大白菜</t>
    </r>
  </si>
  <si>
    <r>
      <rPr>
        <sz val="11"/>
        <color indexed="8"/>
        <rFont val="標楷體"/>
        <family val="4"/>
        <charset val="136"/>
      </rPr>
      <t>筍籤</t>
    </r>
    <phoneticPr fontId="3" type="noConversion"/>
  </si>
  <si>
    <r>
      <rPr>
        <sz val="12"/>
        <rFont val="標楷體"/>
        <family val="4"/>
        <charset val="136"/>
      </rPr>
      <t>三</t>
    </r>
    <phoneticPr fontId="3" type="noConversion"/>
  </si>
  <si>
    <r>
      <rPr>
        <sz val="12"/>
        <rFont val="標楷體"/>
        <family val="4"/>
        <charset val="136"/>
      </rPr>
      <t>白飯</t>
    </r>
    <phoneticPr fontId="3" type="noConversion"/>
  </si>
  <si>
    <r>
      <rPr>
        <sz val="11"/>
        <rFont val="標楷體"/>
        <family val="4"/>
        <charset val="136"/>
      </rPr>
      <t>冷凍玉米粒</t>
    </r>
    <phoneticPr fontId="3" type="noConversion"/>
  </si>
  <si>
    <r>
      <rPr>
        <sz val="11"/>
        <rFont val="標楷體"/>
        <family val="4"/>
        <charset val="136"/>
      </rPr>
      <t>紅蘿蔔</t>
    </r>
    <phoneticPr fontId="3" type="noConversion"/>
  </si>
  <si>
    <r>
      <rPr>
        <sz val="11"/>
        <rFont val="標楷體"/>
        <family val="4"/>
        <charset val="136"/>
      </rPr>
      <t>豬肉絲</t>
    </r>
    <phoneticPr fontId="3" type="noConversion"/>
  </si>
  <si>
    <r>
      <rPr>
        <sz val="11"/>
        <rFont val="標楷體"/>
        <family val="4"/>
        <charset val="136"/>
      </rPr>
      <t>高麗菜</t>
    </r>
    <phoneticPr fontId="3" type="noConversion"/>
  </si>
  <si>
    <r>
      <rPr>
        <sz val="11"/>
        <color indexed="8"/>
        <rFont val="標楷體"/>
        <family val="4"/>
        <charset val="136"/>
      </rPr>
      <t>番茄</t>
    </r>
    <phoneticPr fontId="3" type="noConversion"/>
  </si>
  <si>
    <r>
      <rPr>
        <sz val="10"/>
        <color indexed="16"/>
        <rFont val="標楷體"/>
        <family val="4"/>
        <charset val="136"/>
      </rPr>
      <t>水果含有豐富的維生素</t>
    </r>
    <r>
      <rPr>
        <sz val="10"/>
        <color indexed="16"/>
        <rFont val="Book Antiqua"/>
        <family val="1"/>
      </rPr>
      <t>C</t>
    </r>
    <r>
      <rPr>
        <sz val="10"/>
        <color indexed="16"/>
        <rFont val="標楷體"/>
        <family val="4"/>
        <charset val="136"/>
      </rPr>
      <t>、維生素</t>
    </r>
    <r>
      <rPr>
        <sz val="10"/>
        <color indexed="16"/>
        <rFont val="Book Antiqua"/>
        <family val="1"/>
      </rPr>
      <t>A</t>
    </r>
    <r>
      <rPr>
        <sz val="10"/>
        <color indexed="16"/>
        <rFont val="標楷體"/>
        <family val="4"/>
        <charset val="136"/>
      </rPr>
      <t>以及人體必需的各種礦物質，可以促進健康、增強孩子的免疫力。</t>
    </r>
    <phoneticPr fontId="3" type="noConversion"/>
  </si>
  <si>
    <r>
      <rPr>
        <sz val="11"/>
        <color indexed="8"/>
        <rFont val="標楷體"/>
        <family val="4"/>
        <charset val="136"/>
      </rPr>
      <t>棒腿</t>
    </r>
    <phoneticPr fontId="3" type="noConversion"/>
  </si>
  <si>
    <r>
      <rPr>
        <sz val="11"/>
        <color indexed="8"/>
        <rFont val="標楷體"/>
        <family val="4"/>
        <charset val="136"/>
      </rPr>
      <t>滷包</t>
    </r>
    <phoneticPr fontId="3" type="noConversion"/>
  </si>
  <si>
    <r>
      <rPr>
        <sz val="11"/>
        <rFont val="標楷體"/>
        <family val="4"/>
        <charset val="136"/>
      </rPr>
      <t>寬粉</t>
    </r>
  </si>
  <si>
    <r>
      <rPr>
        <sz val="11"/>
        <rFont val="標楷體"/>
        <family val="4"/>
        <charset val="136"/>
      </rPr>
      <t>大白菜</t>
    </r>
  </si>
  <si>
    <r>
      <rPr>
        <sz val="11"/>
        <rFont val="標楷體"/>
        <family val="4"/>
        <charset val="136"/>
      </rPr>
      <t>生香菇</t>
    </r>
    <phoneticPr fontId="3" type="noConversion"/>
  </si>
  <si>
    <r>
      <rPr>
        <sz val="12"/>
        <rFont val="標楷體"/>
        <family val="4"/>
        <charset val="136"/>
      </rPr>
      <t>炒時蔬</t>
    </r>
    <phoneticPr fontId="3" type="noConversion"/>
  </si>
  <si>
    <r>
      <rPr>
        <sz val="11"/>
        <color indexed="8"/>
        <rFont val="標楷體"/>
        <family val="4"/>
        <charset val="136"/>
      </rPr>
      <t>大黃瓜</t>
    </r>
    <phoneticPr fontId="3" type="noConversion"/>
  </si>
  <si>
    <r>
      <rPr>
        <sz val="11"/>
        <color indexed="8"/>
        <rFont val="標楷體"/>
        <family val="4"/>
        <charset val="136"/>
      </rPr>
      <t>金針菇</t>
    </r>
    <phoneticPr fontId="3" type="noConversion"/>
  </si>
  <si>
    <r>
      <rPr>
        <sz val="10"/>
        <color indexed="10"/>
        <rFont val="標楷體"/>
        <family val="4"/>
        <charset val="136"/>
      </rPr>
      <t>老師的叮嚀</t>
    </r>
    <phoneticPr fontId="3" type="noConversion"/>
  </si>
  <si>
    <r>
      <rPr>
        <sz val="11"/>
        <rFont val="標楷體"/>
        <family val="4"/>
        <charset val="136"/>
      </rPr>
      <t>五</t>
    </r>
    <phoneticPr fontId="3" type="noConversion"/>
  </si>
  <si>
    <r>
      <rPr>
        <sz val="11"/>
        <rFont val="標楷體"/>
        <family val="4"/>
        <charset val="136"/>
      </rPr>
      <t>馬鈴薯</t>
    </r>
    <phoneticPr fontId="3" type="noConversion"/>
  </si>
  <si>
    <r>
      <rPr>
        <sz val="11"/>
        <rFont val="標楷體"/>
        <family val="4"/>
        <charset val="136"/>
      </rPr>
      <t>雞蛋</t>
    </r>
  </si>
  <si>
    <r>
      <rPr>
        <sz val="12"/>
        <rFont val="標楷體"/>
        <family val="4"/>
        <charset val="136"/>
      </rPr>
      <t>炒時蔬</t>
    </r>
    <phoneticPr fontId="3" type="noConversion"/>
  </si>
  <si>
    <r>
      <t>108</t>
    </r>
    <r>
      <rPr>
        <b/>
        <sz val="12"/>
        <rFont val="標楷體"/>
        <family val="4"/>
        <charset val="136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  <charset val="136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  <charset val="136"/>
      </rPr>
      <t>週</t>
    </r>
    <phoneticPr fontId="3" type="noConversion"/>
  </si>
  <si>
    <r>
      <rPr>
        <sz val="6"/>
        <rFont val="標楷體"/>
        <family val="4"/>
        <charset val="136"/>
      </rPr>
      <t>果種子類
油脂與堅</t>
    </r>
    <phoneticPr fontId="3" type="noConversion"/>
  </si>
  <si>
    <r>
      <rPr>
        <sz val="11"/>
        <rFont val="標楷體"/>
        <family val="4"/>
        <charset val="136"/>
      </rPr>
      <t>蒟蒻白魷魚</t>
    </r>
    <phoneticPr fontId="3" type="noConversion"/>
  </si>
  <si>
    <r>
      <rPr>
        <sz val="11"/>
        <rFont val="標楷體"/>
        <family val="4"/>
        <charset val="136"/>
      </rPr>
      <t>紅蘿蔔</t>
    </r>
    <phoneticPr fontId="3" type="noConversion"/>
  </si>
  <si>
    <r>
      <rPr>
        <sz val="12"/>
        <rFont val="標楷體"/>
        <family val="4"/>
        <charset val="136"/>
      </rPr>
      <t>炒時蔬</t>
    </r>
    <phoneticPr fontId="3" type="noConversion"/>
  </si>
  <si>
    <r>
      <rPr>
        <sz val="11"/>
        <rFont val="標楷體"/>
        <family val="4"/>
        <charset val="136"/>
      </rPr>
      <t>大骨</t>
    </r>
    <phoneticPr fontId="3" type="noConversion"/>
  </si>
  <si>
    <r>
      <rPr>
        <sz val="12"/>
        <rFont val="標楷體"/>
        <family val="4"/>
        <charset val="136"/>
      </rPr>
      <t>二</t>
    </r>
    <phoneticPr fontId="3" type="noConversion"/>
  </si>
  <si>
    <r>
      <rPr>
        <sz val="11"/>
        <rFont val="標楷體"/>
        <family val="4"/>
        <charset val="136"/>
      </rPr>
      <t>薑片</t>
    </r>
    <phoneticPr fontId="3" type="noConversion"/>
  </si>
  <si>
    <r>
      <rPr>
        <sz val="11"/>
        <rFont val="標楷體"/>
        <family val="4"/>
        <charset val="136"/>
      </rPr>
      <t>九層塔</t>
    </r>
    <phoneticPr fontId="3" type="noConversion"/>
  </si>
  <si>
    <r>
      <rPr>
        <sz val="11"/>
        <rFont val="標楷體"/>
        <family val="4"/>
        <charset val="136"/>
      </rPr>
      <t>海帶芽</t>
    </r>
    <phoneticPr fontId="3" type="noConversion"/>
  </si>
  <si>
    <r>
      <rPr>
        <sz val="11"/>
        <color indexed="8"/>
        <rFont val="標楷體"/>
        <family val="4"/>
        <charset val="136"/>
      </rPr>
      <t>薑絲</t>
    </r>
    <phoneticPr fontId="3" type="noConversion"/>
  </si>
  <si>
    <r>
      <rPr>
        <sz val="11"/>
        <rFont val="標楷體"/>
        <family val="4"/>
        <charset val="136"/>
      </rPr>
      <t>高麗菜包</t>
    </r>
    <phoneticPr fontId="3" type="noConversion"/>
  </si>
  <si>
    <r>
      <rPr>
        <sz val="10"/>
        <color indexed="16"/>
        <rFont val="標楷體"/>
        <family val="4"/>
        <charset val="136"/>
      </rPr>
      <t>水果富含大量的維生素及礦物質，以及大量的膳食纖維及人體必需的各種微量元素，可以預防便祕、消除疲勞、增強免疫力喔</t>
    </r>
    <r>
      <rPr>
        <sz val="10"/>
        <color indexed="16"/>
        <rFont val="Book Antiqua"/>
        <family val="1"/>
      </rPr>
      <t>!</t>
    </r>
    <phoneticPr fontId="3" type="noConversion"/>
  </si>
  <si>
    <r>
      <rPr>
        <sz val="11"/>
        <rFont val="標楷體"/>
        <family val="4"/>
        <charset val="136"/>
      </rPr>
      <t>百頁結</t>
    </r>
    <phoneticPr fontId="3" type="noConversion"/>
  </si>
  <si>
    <r>
      <rPr>
        <sz val="11"/>
        <rFont val="標楷體"/>
        <family val="4"/>
        <charset val="136"/>
      </rPr>
      <t>大黃瓜</t>
    </r>
    <phoneticPr fontId="3" type="noConversion"/>
  </si>
  <si>
    <r>
      <rPr>
        <sz val="11"/>
        <rFont val="標楷體"/>
        <family val="4"/>
        <charset val="136"/>
      </rPr>
      <t>玉米粒</t>
    </r>
    <phoneticPr fontId="3" type="noConversion"/>
  </si>
  <si>
    <r>
      <rPr>
        <sz val="11"/>
        <rFont val="標楷體"/>
        <family val="4"/>
        <charset val="136"/>
      </rPr>
      <t>枸杞</t>
    </r>
    <phoneticPr fontId="3" type="noConversion"/>
  </si>
  <si>
    <r>
      <rPr>
        <sz val="11"/>
        <rFont val="標楷體"/>
        <family val="4"/>
        <charset val="136"/>
      </rPr>
      <t>牛蒡</t>
    </r>
    <phoneticPr fontId="3" type="noConversion"/>
  </si>
  <si>
    <r>
      <rPr>
        <sz val="11"/>
        <rFont val="標楷體"/>
        <family val="4"/>
        <charset val="136"/>
      </rPr>
      <t>薑片</t>
    </r>
    <phoneticPr fontId="3" type="noConversion"/>
  </si>
  <si>
    <r>
      <rPr>
        <sz val="10"/>
        <color indexed="10"/>
        <rFont val="標楷體"/>
        <family val="4"/>
        <charset val="136"/>
      </rPr>
      <t>老師的叮嚀</t>
    </r>
    <phoneticPr fontId="3" type="noConversion"/>
  </si>
  <si>
    <r>
      <rPr>
        <sz val="11"/>
        <color indexed="10"/>
        <rFont val="標楷體"/>
        <family val="4"/>
        <charset val="136"/>
      </rPr>
      <t>營養標準參照</t>
    </r>
    <phoneticPr fontId="3" type="noConversion"/>
  </si>
  <si>
    <r>
      <rPr>
        <b/>
        <sz val="11"/>
        <color rgb="FFFF0000"/>
        <rFont val="標楷體"/>
        <family val="4"/>
        <charset val="136"/>
      </rPr>
      <t>衛生福利部</t>
    </r>
    <r>
      <rPr>
        <b/>
        <sz val="11"/>
        <color rgb="FFFF0000"/>
        <rFont val="Book Antiqua"/>
        <family val="1"/>
      </rPr>
      <t xml:space="preserve"> </t>
    </r>
    <r>
      <rPr>
        <b/>
        <sz val="11"/>
        <color rgb="FFFF0000"/>
        <rFont val="標楷體"/>
        <family val="4"/>
        <charset val="136"/>
      </rPr>
      <t>國民健康署「每日飲食指南」</t>
    </r>
    <phoneticPr fontId="3" type="noConversion"/>
  </si>
  <si>
    <r>
      <rPr>
        <b/>
        <sz val="12"/>
        <rFont val="標楷體"/>
        <family val="4"/>
        <charset val="136"/>
      </rPr>
      <t>小朋友要多吃飯才健康喔</t>
    </r>
    <r>
      <rPr>
        <b/>
        <sz val="12"/>
        <rFont val="Book Antiqua"/>
        <family val="1"/>
      </rPr>
      <t>!</t>
    </r>
    <phoneticPr fontId="3" type="noConversion"/>
  </si>
  <si>
    <r>
      <rPr>
        <b/>
        <sz val="14"/>
        <rFont val="標楷體"/>
        <family val="4"/>
        <charset val="136"/>
      </rPr>
      <t>供應商營養師</t>
    </r>
    <r>
      <rPr>
        <b/>
        <sz val="14"/>
        <rFont val="Book Antiqua"/>
        <family val="1"/>
      </rPr>
      <t>:</t>
    </r>
    <r>
      <rPr>
        <b/>
        <sz val="14"/>
        <rFont val="標楷體"/>
        <family val="4"/>
        <charset val="136"/>
      </rPr>
      <t>王子瑄</t>
    </r>
    <phoneticPr fontId="3" type="noConversion"/>
  </si>
  <si>
    <r>
      <rPr>
        <b/>
        <sz val="16"/>
        <rFont val="標楷體"/>
        <family val="4"/>
        <charset val="136"/>
      </rPr>
      <t>校</t>
    </r>
    <r>
      <rPr>
        <b/>
        <sz val="16"/>
        <rFont val="Book Antiqua"/>
        <family val="1"/>
      </rPr>
      <t xml:space="preserve">  </t>
    </r>
    <r>
      <rPr>
        <b/>
        <sz val="16"/>
        <rFont val="標楷體"/>
        <family val="4"/>
        <charset val="136"/>
      </rPr>
      <t>長</t>
    </r>
    <phoneticPr fontId="3" type="noConversion"/>
  </si>
  <si>
    <r>
      <t>108</t>
    </r>
    <r>
      <rPr>
        <b/>
        <sz val="11"/>
        <rFont val="標楷體"/>
        <family val="4"/>
        <charset val="136"/>
      </rPr>
      <t>學年度第</t>
    </r>
    <r>
      <rPr>
        <b/>
        <sz val="11"/>
        <rFont val="Book Antiqua"/>
        <family val="1"/>
      </rPr>
      <t>1</t>
    </r>
    <r>
      <rPr>
        <b/>
        <sz val="11"/>
        <rFont val="標楷體"/>
        <family val="4"/>
        <charset val="136"/>
      </rPr>
      <t>學期第</t>
    </r>
    <r>
      <rPr>
        <b/>
        <sz val="11"/>
        <rFont val="Book Antiqua"/>
        <family val="1"/>
      </rPr>
      <t>19</t>
    </r>
    <r>
      <rPr>
        <b/>
        <sz val="11"/>
        <rFont val="標楷體"/>
        <family val="4"/>
        <charset val="136"/>
      </rPr>
      <t>週</t>
    </r>
    <phoneticPr fontId="3" type="noConversion"/>
  </si>
  <si>
    <r>
      <rPr>
        <sz val="11"/>
        <color indexed="8"/>
        <rFont val="標楷體"/>
        <family val="4"/>
        <charset val="136"/>
      </rPr>
      <t>豬絞肉</t>
    </r>
    <phoneticPr fontId="3" type="noConversion"/>
  </si>
  <si>
    <r>
      <rPr>
        <sz val="12"/>
        <rFont val="標楷體"/>
        <family val="4"/>
        <charset val="136"/>
      </rPr>
      <t>炒時蔬</t>
    </r>
    <phoneticPr fontId="3" type="noConversion"/>
  </si>
  <si>
    <r>
      <rPr>
        <sz val="11"/>
        <rFont val="標楷體"/>
        <family val="4"/>
        <charset val="136"/>
      </rPr>
      <t>冬瓜</t>
    </r>
    <phoneticPr fontId="3" type="noConversion"/>
  </si>
  <si>
    <r>
      <rPr>
        <sz val="11"/>
        <rFont val="標楷體"/>
        <family val="4"/>
        <charset val="136"/>
      </rPr>
      <t>雞腿丁</t>
    </r>
    <phoneticPr fontId="3" type="noConversion"/>
  </si>
  <si>
    <r>
      <rPr>
        <sz val="11"/>
        <rFont val="標楷體"/>
        <family val="4"/>
        <charset val="136"/>
      </rPr>
      <t>新鮮芋頭</t>
    </r>
    <phoneticPr fontId="3" type="noConversion"/>
  </si>
  <si>
    <r>
      <rPr>
        <sz val="11"/>
        <rFont val="標楷體"/>
        <family val="4"/>
        <charset val="136"/>
      </rPr>
      <t>生香菇</t>
    </r>
    <phoneticPr fontId="3" type="noConversion"/>
  </si>
  <si>
    <r>
      <rPr>
        <sz val="11"/>
        <rFont val="標楷體"/>
        <family val="4"/>
        <charset val="136"/>
      </rPr>
      <t>冬粉</t>
    </r>
    <phoneticPr fontId="3" type="noConversion"/>
  </si>
  <si>
    <r>
      <rPr>
        <sz val="11"/>
        <rFont val="標楷體"/>
        <family val="4"/>
        <charset val="136"/>
      </rPr>
      <t>豬血</t>
    </r>
    <phoneticPr fontId="3" type="noConversion"/>
  </si>
  <si>
    <r>
      <rPr>
        <sz val="11"/>
        <rFont val="標楷體"/>
        <family val="4"/>
        <charset val="136"/>
      </rPr>
      <t>韭菜</t>
    </r>
    <phoneticPr fontId="3" type="noConversion"/>
  </si>
  <si>
    <r>
      <rPr>
        <sz val="11"/>
        <rFont val="標楷體"/>
        <family val="4"/>
        <charset val="136"/>
      </rPr>
      <t>高麗菜</t>
    </r>
  </si>
  <si>
    <r>
      <rPr>
        <sz val="11"/>
        <rFont val="標楷體"/>
        <family val="4"/>
        <charset val="136"/>
      </rPr>
      <t>豆芽</t>
    </r>
    <phoneticPr fontId="3" type="noConversion"/>
  </si>
  <si>
    <r>
      <rPr>
        <sz val="11"/>
        <rFont val="標楷體"/>
        <family val="4"/>
        <charset val="136"/>
      </rPr>
      <t>肉羹</t>
    </r>
    <phoneticPr fontId="3" type="noConversion"/>
  </si>
  <si>
    <r>
      <rPr>
        <sz val="11"/>
        <rFont val="標楷體"/>
        <family val="4"/>
        <charset val="136"/>
      </rPr>
      <t>筍簽</t>
    </r>
    <phoneticPr fontId="3" type="noConversion"/>
  </si>
  <si>
    <r>
      <t>1</t>
    </r>
    <r>
      <rPr>
        <sz val="11"/>
        <color indexed="8"/>
        <rFont val="標楷體"/>
        <family val="4"/>
        <charset val="136"/>
      </rPr>
      <t>包</t>
    </r>
    <phoneticPr fontId="3" type="noConversion"/>
  </si>
  <si>
    <r>
      <rPr>
        <sz val="11"/>
        <color indexed="8"/>
        <rFont val="標楷體"/>
        <family val="4"/>
        <charset val="136"/>
      </rPr>
      <t>油蔥酥</t>
    </r>
    <phoneticPr fontId="3" type="noConversion"/>
  </si>
  <si>
    <r>
      <rPr>
        <sz val="11"/>
        <rFont val="標楷體"/>
        <family val="4"/>
        <charset val="136"/>
      </rPr>
      <t>綠花椰</t>
    </r>
    <phoneticPr fontId="3" type="noConversion"/>
  </si>
  <si>
    <r>
      <rPr>
        <sz val="11"/>
        <rFont val="標楷體"/>
        <family val="4"/>
        <charset val="136"/>
      </rPr>
      <t>白花椰</t>
    </r>
    <phoneticPr fontId="3" type="noConversion"/>
  </si>
  <si>
    <r>
      <rPr>
        <sz val="11"/>
        <color indexed="8"/>
        <rFont val="標楷體"/>
        <family val="4"/>
        <charset val="136"/>
      </rPr>
      <t>洋蔥</t>
    </r>
    <phoneticPr fontId="3" type="noConversion"/>
  </si>
  <si>
    <r>
      <rPr>
        <sz val="11"/>
        <rFont val="標楷體"/>
        <family val="4"/>
        <charset val="136"/>
      </rPr>
      <t>番茄</t>
    </r>
    <phoneticPr fontId="3" type="noConversion"/>
  </si>
  <si>
    <r>
      <t>108</t>
    </r>
    <r>
      <rPr>
        <b/>
        <sz val="11"/>
        <rFont val="標楷體"/>
        <family val="4"/>
        <charset val="136"/>
      </rPr>
      <t>學年度第</t>
    </r>
    <r>
      <rPr>
        <b/>
        <sz val="11"/>
        <rFont val="Book Antiqua"/>
        <family val="1"/>
      </rPr>
      <t>1</t>
    </r>
    <r>
      <rPr>
        <b/>
        <sz val="11"/>
        <rFont val="標楷體"/>
        <family val="4"/>
        <charset val="136"/>
      </rPr>
      <t>學期第</t>
    </r>
    <r>
      <rPr>
        <b/>
        <sz val="11"/>
        <rFont val="Book Antiqua"/>
        <family val="1"/>
      </rPr>
      <t>18</t>
    </r>
    <r>
      <rPr>
        <b/>
        <sz val="11"/>
        <rFont val="標楷體"/>
        <family val="4"/>
        <charset val="136"/>
      </rPr>
      <t>週</t>
    </r>
    <phoneticPr fontId="3" type="noConversion"/>
  </si>
  <si>
    <r>
      <rPr>
        <sz val="11"/>
        <rFont val="標楷體"/>
        <family val="4"/>
        <charset val="136"/>
      </rPr>
      <t>絲瓜</t>
    </r>
    <phoneticPr fontId="3" type="noConversion"/>
  </si>
  <si>
    <r>
      <rPr>
        <sz val="11"/>
        <rFont val="標楷體"/>
        <family val="4"/>
        <charset val="136"/>
      </rPr>
      <t>金針菇</t>
    </r>
    <phoneticPr fontId="3" type="noConversion"/>
  </si>
  <si>
    <r>
      <rPr>
        <sz val="12"/>
        <rFont val="標楷體"/>
        <family val="4"/>
        <charset val="136"/>
      </rPr>
      <t>三</t>
    </r>
    <phoneticPr fontId="3" type="noConversion"/>
  </si>
  <si>
    <r>
      <rPr>
        <sz val="12"/>
        <rFont val="標楷體"/>
        <family val="4"/>
        <charset val="136"/>
      </rPr>
      <t>白飯</t>
    </r>
    <phoneticPr fontId="3" type="noConversion"/>
  </si>
  <si>
    <r>
      <rPr>
        <sz val="12"/>
        <rFont val="標楷體"/>
        <family val="4"/>
        <charset val="136"/>
      </rPr>
      <t>炒時蔬</t>
    </r>
    <phoneticPr fontId="3" type="noConversion"/>
  </si>
  <si>
    <r>
      <rPr>
        <sz val="11"/>
        <rFont val="標楷體"/>
        <family val="4"/>
        <charset val="136"/>
      </rPr>
      <t>豬肉丁</t>
    </r>
  </si>
  <si>
    <r>
      <rPr>
        <sz val="11"/>
        <rFont val="標楷體"/>
        <family val="4"/>
        <charset val="136"/>
      </rPr>
      <t>熟花生</t>
    </r>
  </si>
  <si>
    <r>
      <rPr>
        <sz val="11"/>
        <rFont val="標楷體"/>
        <family val="4"/>
        <charset val="136"/>
      </rPr>
      <t>鹹蛋</t>
    </r>
    <phoneticPr fontId="3" type="noConversion"/>
  </si>
  <si>
    <r>
      <rPr>
        <sz val="11"/>
        <rFont val="標楷體"/>
        <family val="4"/>
        <charset val="136"/>
      </rPr>
      <t>麵筋泡</t>
    </r>
  </si>
  <si>
    <r>
      <rPr>
        <sz val="12"/>
        <color indexed="8"/>
        <rFont val="標楷體"/>
        <family val="4"/>
        <charset val="136"/>
      </rPr>
      <t>豬絞肉</t>
    </r>
    <phoneticPr fontId="3" type="noConversion"/>
  </si>
  <si>
    <r>
      <rPr>
        <sz val="12"/>
        <color indexed="8"/>
        <rFont val="標楷體"/>
        <family val="4"/>
        <charset val="136"/>
      </rPr>
      <t>紅蘿蔔</t>
    </r>
    <phoneticPr fontId="3" type="noConversion"/>
  </si>
  <si>
    <r>
      <rPr>
        <sz val="12"/>
        <rFont val="標楷體"/>
        <family val="4"/>
        <charset val="136"/>
      </rPr>
      <t>洋蔥</t>
    </r>
    <phoneticPr fontId="3" type="noConversion"/>
  </si>
  <si>
    <r>
      <rPr>
        <sz val="12"/>
        <color indexed="8"/>
        <rFont val="標楷體"/>
        <family val="4"/>
        <charset val="136"/>
      </rPr>
      <t>義式綜合香料</t>
    </r>
    <phoneticPr fontId="3" type="noConversion"/>
  </si>
  <si>
    <r>
      <t>1</t>
    </r>
    <r>
      <rPr>
        <sz val="12"/>
        <color indexed="8"/>
        <rFont val="標楷體"/>
        <family val="4"/>
        <charset val="136"/>
      </rPr>
      <t>包</t>
    </r>
    <phoneticPr fontId="3" type="noConversion"/>
  </si>
  <si>
    <r>
      <rPr>
        <sz val="12"/>
        <rFont val="標楷體"/>
        <family val="4"/>
        <charset val="136"/>
      </rPr>
      <t>馬鈴薯</t>
    </r>
    <phoneticPr fontId="3" type="noConversion"/>
  </si>
  <si>
    <t>高麗菜為十字花科的高抗氧化性蔬菜，能有效消除疲勞、預防感冒，且具有促進腸胃蠕動的功效，協助排出身體的廢物喔!</t>
    <phoneticPr fontId="3" type="noConversion"/>
  </si>
  <si>
    <t>白蘿蔔含有豐富的粗纖維，可促使腸胃蠕動，防止便秘。但白蘿蔔屬涼性蔬菜，體質虛弱的人應煮熟食用。</t>
    <phoneticPr fontId="3" type="noConversion"/>
  </si>
  <si>
    <t>小薏仁</t>
    <phoneticPr fontId="3" type="noConversion"/>
  </si>
  <si>
    <t>絲瓜中含防止皮膚老化的B族維生素，增白皮膚的維生素C等成分，能保護皮膚，使皮膚潔白、細嫩</t>
    <phoneticPr fontId="3" type="noConversion"/>
  </si>
  <si>
    <t>南瓜所含的β胡蘿蔔素為超級抗氧化物，具有防癌功效、增強免疫力作用、保護眼力。</t>
    <phoneticPr fontId="3" type="noConversion"/>
  </si>
  <si>
    <t>冬瓜除了具有清熱消火的作用之外，因維生素C含量高，可幫助細胞間膠原蛋白形成，具有美化肌膚之效。</t>
    <phoneticPr fontId="3" type="noConversion"/>
  </si>
  <si>
    <t>豆乾是由豆類製成，含有均衡的植物性蛋白質；另外含有維生素B1、B2、B12、鈣、磷、鐵、鉀、鈉、胡蘿蔔素等多種成分。</t>
    <phoneticPr fontId="3" type="noConversion"/>
  </si>
  <si>
    <t>成都子雞</t>
    <phoneticPr fontId="3" type="noConversion"/>
  </si>
  <si>
    <t>紫菜蛋花湯</t>
    <phoneticPr fontId="3" type="noConversion"/>
  </si>
  <si>
    <t>榨菜炒豆干</t>
    <phoneticPr fontId="3" type="noConversion"/>
  </si>
  <si>
    <r>
      <rPr>
        <sz val="10"/>
        <color indexed="16"/>
        <rFont val="標楷體"/>
        <family val="4"/>
        <charset val="136"/>
      </rPr>
      <t>豆類製品含大量的礦物質和維生素，營養價值似同於肉類，是一種高蛋白、低脂肪食品，其富含鈣質，可以促進骨骼健壯喔</t>
    </r>
    <r>
      <rPr>
        <sz val="10"/>
        <color indexed="16"/>
        <rFont val="Book Antiqua"/>
        <family val="1"/>
      </rPr>
      <t>!</t>
    </r>
    <phoneticPr fontId="3" type="noConversion"/>
  </si>
  <si>
    <t>天婦羅湯</t>
    <phoneticPr fontId="3" type="noConversion"/>
  </si>
  <si>
    <t>洋芋燒雞</t>
    <phoneticPr fontId="3" type="noConversion"/>
  </si>
  <si>
    <t>黑糖西谷米</t>
    <phoneticPr fontId="3" type="noConversion"/>
  </si>
  <si>
    <t>豆干燒肉</t>
    <phoneticPr fontId="3" type="noConversion"/>
  </si>
  <si>
    <t>酸辣湯</t>
    <phoneticPr fontId="3" type="noConversion"/>
  </si>
  <si>
    <t>滷麵腸</t>
    <phoneticPr fontId="3" type="noConversion"/>
  </si>
  <si>
    <t>芹香高麗</t>
    <phoneticPr fontId="3" type="noConversion"/>
  </si>
  <si>
    <t>大瓜金菇湯</t>
    <phoneticPr fontId="3" type="noConversion"/>
  </si>
  <si>
    <t>大滷湯</t>
    <phoneticPr fontId="3" type="noConversion"/>
  </si>
  <si>
    <t>三色肉絲炒飯</t>
    <phoneticPr fontId="3" type="noConversion"/>
  </si>
  <si>
    <t>番茄蛋花湯</t>
    <phoneticPr fontId="3" type="noConversion"/>
  </si>
  <si>
    <t>滷雞腿</t>
    <phoneticPr fontId="3" type="noConversion"/>
  </si>
  <si>
    <t>什錦寬粉絲</t>
    <phoneticPr fontId="3" type="noConversion"/>
  </si>
  <si>
    <t>彩頭油腐湯</t>
    <phoneticPr fontId="3" type="noConversion"/>
  </si>
  <si>
    <t>蠔油肉絲</t>
    <phoneticPr fontId="3" type="noConversion"/>
  </si>
  <si>
    <t>薏仁蘿蔔湯</t>
    <phoneticPr fontId="3" type="noConversion"/>
  </si>
  <si>
    <t>南瓜三杯雞</t>
    <phoneticPr fontId="3" type="noConversion"/>
  </si>
  <si>
    <t>黑椒豆芽</t>
    <phoneticPr fontId="3" type="noConversion"/>
  </si>
  <si>
    <t>黑木耳</t>
    <phoneticPr fontId="3" type="noConversion"/>
  </si>
  <si>
    <t>海芽豆腐湯</t>
    <phoneticPr fontId="3" type="noConversion"/>
  </si>
  <si>
    <t>高麗菜包</t>
    <phoneticPr fontId="3" type="noConversion"/>
  </si>
  <si>
    <t>素炒四喜</t>
    <phoneticPr fontId="3" type="noConversion"/>
  </si>
  <si>
    <t>牛蒡龍骨湯</t>
    <phoneticPr fontId="3" type="noConversion"/>
  </si>
  <si>
    <t>百頁燜雞</t>
    <phoneticPr fontId="3" type="noConversion"/>
  </si>
  <si>
    <t>絲瓜燴金針菇</t>
    <phoneticPr fontId="3" type="noConversion"/>
  </si>
  <si>
    <t>花生滷肉</t>
    <phoneticPr fontId="3" type="noConversion"/>
  </si>
  <si>
    <t>金沙南瓜</t>
    <phoneticPr fontId="3" type="noConversion"/>
  </si>
  <si>
    <t>山藥雞湯</t>
    <phoneticPr fontId="3" type="noConversion"/>
  </si>
  <si>
    <t>薑絲冬瓜湯</t>
    <phoneticPr fontId="3" type="noConversion"/>
  </si>
  <si>
    <t>白菜滷</t>
    <phoneticPr fontId="3" type="noConversion"/>
  </si>
  <si>
    <t>豬血粉絲湯</t>
    <phoneticPr fontId="3" type="noConversion"/>
  </si>
  <si>
    <t>肉羹湯</t>
    <phoneticPr fontId="3" type="noConversion"/>
  </si>
  <si>
    <t>絞肉蒸蛋</t>
    <phoneticPr fontId="3" type="noConversion"/>
  </si>
  <si>
    <t>蒜香花椰</t>
    <phoneticPr fontId="3" type="noConversion"/>
  </si>
  <si>
    <t>馬鈴薯蔬菜湯</t>
    <phoneticPr fontId="3" type="noConversion"/>
  </si>
  <si>
    <t>蝦米扁蒲</t>
    <phoneticPr fontId="3" type="noConversion"/>
  </si>
  <si>
    <t>扁蒲</t>
    <phoneticPr fontId="3" type="noConversion"/>
  </si>
  <si>
    <t>紅蘿蔔</t>
    <phoneticPr fontId="3" type="noConversion"/>
  </si>
  <si>
    <t>大白菜</t>
    <phoneticPr fontId="3" type="noConversion"/>
  </si>
  <si>
    <t>油片絲</t>
    <phoneticPr fontId="3" type="noConversion"/>
  </si>
  <si>
    <t>白菜滷</t>
    <phoneticPr fontId="3" type="noConversion"/>
  </si>
  <si>
    <r>
      <t>373</t>
    </r>
    <r>
      <rPr>
        <sz val="11"/>
        <rFont val="標楷體"/>
        <family val="4"/>
        <charset val="136"/>
      </rPr>
      <t>支</t>
    </r>
    <phoneticPr fontId="3" type="noConversion"/>
  </si>
  <si>
    <t>鳳梨肉絲蛋炒飯</t>
    <phoneticPr fontId="3" type="noConversion"/>
  </si>
  <si>
    <r>
      <rPr>
        <sz val="11"/>
        <rFont val="標楷體"/>
        <family val="4"/>
        <charset val="136"/>
      </rPr>
      <t>雞蛋</t>
    </r>
    <phoneticPr fontId="3" type="noConversion"/>
  </si>
  <si>
    <r>
      <rPr>
        <sz val="11"/>
        <rFont val="標楷體"/>
        <family val="4"/>
        <charset val="136"/>
      </rPr>
      <t>洋蔥</t>
    </r>
    <phoneticPr fontId="3" type="noConversion"/>
  </si>
  <si>
    <r>
      <rPr>
        <sz val="11"/>
        <rFont val="標楷體"/>
        <family val="4"/>
        <charset val="136"/>
      </rPr>
      <t>豬肉絲</t>
    </r>
    <phoneticPr fontId="3" type="noConversion"/>
  </si>
  <si>
    <r>
      <rPr>
        <sz val="11"/>
        <rFont val="標楷體"/>
        <family val="4"/>
        <charset val="136"/>
      </rPr>
      <t>冷凍三色豆</t>
    </r>
    <phoneticPr fontId="3" type="noConversion"/>
  </si>
  <si>
    <r>
      <rPr>
        <sz val="11"/>
        <rFont val="標楷體"/>
        <family val="4"/>
        <charset val="136"/>
      </rPr>
      <t>鳳梨罐頭</t>
    </r>
    <phoneticPr fontId="3" type="noConversion"/>
  </si>
  <si>
    <t>麻油雞</t>
    <phoneticPr fontId="3" type="noConversion"/>
  </si>
  <si>
    <t>雞腿丁</t>
    <phoneticPr fontId="3" type="noConversion"/>
  </si>
  <si>
    <t>胡麻油</t>
    <phoneticPr fontId="3" type="noConversion"/>
  </si>
  <si>
    <r>
      <t>1</t>
    </r>
    <r>
      <rPr>
        <sz val="12"/>
        <rFont val="標楷體"/>
        <family val="4"/>
        <charset val="136"/>
      </rPr>
      <t>桶</t>
    </r>
    <phoneticPr fontId="3" type="noConversion"/>
  </si>
  <si>
    <t>米血糕</t>
    <phoneticPr fontId="3" type="noConversion"/>
  </si>
  <si>
    <t>薑片</t>
    <phoneticPr fontId="3" type="noConversion"/>
  </si>
  <si>
    <r>
      <rPr>
        <sz val="11"/>
        <rFont val="標楷體"/>
        <family val="4"/>
        <charset val="136"/>
      </rPr>
      <t>金針菇</t>
    </r>
    <phoneticPr fontId="3" type="noConversion"/>
  </si>
  <si>
    <r>
      <rPr>
        <sz val="11"/>
        <rFont val="標楷體"/>
        <family val="4"/>
        <charset val="136"/>
      </rPr>
      <t>薑絲</t>
    </r>
    <phoneticPr fontId="3" type="noConversion"/>
  </si>
  <si>
    <r>
      <rPr>
        <sz val="11"/>
        <rFont val="標楷體"/>
        <family val="4"/>
        <charset val="136"/>
      </rPr>
      <t>杏鮑菇</t>
    </r>
    <phoneticPr fontId="3" type="noConversion"/>
  </si>
  <si>
    <t>大骨</t>
    <phoneticPr fontId="3" type="noConversion"/>
  </si>
  <si>
    <r>
      <rPr>
        <sz val="11"/>
        <rFont val="標楷體"/>
        <family val="4"/>
        <charset val="136"/>
      </rPr>
      <t>生香菇</t>
    </r>
    <phoneticPr fontId="3" type="noConversion"/>
  </si>
  <si>
    <t>元旦放假</t>
    <phoneticPr fontId="3" type="noConversion"/>
  </si>
  <si>
    <t>洋蔥爆豆芽肉絲</t>
    <phoneticPr fontId="3" type="noConversion"/>
  </si>
  <si>
    <t>義式洋芋肉燥</t>
    <phoneticPr fontId="3" type="noConversion"/>
  </si>
  <si>
    <t>家常滷肉</t>
    <phoneticPr fontId="3" type="noConversion"/>
  </si>
  <si>
    <t>豬肉丁</t>
    <phoneticPr fontId="3" type="noConversion"/>
  </si>
  <si>
    <t>白蘿蔔</t>
    <phoneticPr fontId="3" type="noConversion"/>
  </si>
  <si>
    <t>薑片</t>
    <phoneticPr fontId="3" type="noConversion"/>
  </si>
  <si>
    <t>雞蛋</t>
    <phoneticPr fontId="3" type="noConversion"/>
  </si>
  <si>
    <t>馬鈴薯</t>
    <phoneticPr fontId="3" type="noConversion"/>
  </si>
  <si>
    <t>冷凍玉米粒</t>
    <phoneticPr fontId="3" type="noConversion"/>
  </si>
  <si>
    <t>養生菇菇湯</t>
    <phoneticPr fontId="3" type="noConversion"/>
  </si>
  <si>
    <t>洋芋炒蛋</t>
    <phoneticPr fontId="3" type="noConversion"/>
  </si>
  <si>
    <r>
      <rPr>
        <sz val="12"/>
        <rFont val="標楷體"/>
        <family val="4"/>
        <charset val="136"/>
      </rPr>
      <t>玉米濃湯</t>
    </r>
    <phoneticPr fontId="47" type="noConversion"/>
  </si>
  <si>
    <r>
      <rPr>
        <sz val="12"/>
        <rFont val="標楷體"/>
        <family val="4"/>
        <charset val="136"/>
      </rPr>
      <t>雞蛋</t>
    </r>
    <phoneticPr fontId="47" type="noConversion"/>
  </si>
  <si>
    <r>
      <rPr>
        <sz val="12"/>
        <rFont val="標楷體"/>
        <family val="4"/>
        <charset val="136"/>
      </rPr>
      <t>玉米醬</t>
    </r>
    <phoneticPr fontId="47" type="noConversion"/>
  </si>
  <si>
    <r>
      <rPr>
        <sz val="12"/>
        <rFont val="標楷體"/>
        <family val="4"/>
        <charset val="136"/>
      </rPr>
      <t>鮮奶油</t>
    </r>
    <phoneticPr fontId="47" type="noConversion"/>
  </si>
  <si>
    <r>
      <t>1</t>
    </r>
    <r>
      <rPr>
        <sz val="12"/>
        <rFont val="標楷體"/>
        <family val="4"/>
        <charset val="136"/>
      </rPr>
      <t>罐</t>
    </r>
    <phoneticPr fontId="47" type="noConversion"/>
  </si>
  <si>
    <t>板豆腐</t>
    <phoneticPr fontId="3" type="noConversion"/>
  </si>
  <si>
    <t>酸菜豆腐湯</t>
    <phoneticPr fontId="3" type="noConversion"/>
  </si>
  <si>
    <t>金針菇</t>
    <phoneticPr fontId="3" type="noConversion"/>
  </si>
  <si>
    <t>白酸菜</t>
    <phoneticPr fontId="3" type="noConversion"/>
  </si>
  <si>
    <t>1包</t>
    <phoneticPr fontId="3" type="noConversion"/>
  </si>
  <si>
    <t>時蔬</t>
    <phoneticPr fontId="3" type="noConversion"/>
  </si>
  <si>
    <t>蒜粗</t>
    <phoneticPr fontId="3" type="noConversion"/>
  </si>
  <si>
    <t>時蔬</t>
  </si>
  <si>
    <t>蒜粗</t>
  </si>
  <si>
    <t>不用送</t>
  </si>
  <si>
    <t>冷凍青豆仁</t>
    <phoneticPr fontId="3" type="noConversion"/>
  </si>
  <si>
    <t>京醬雞丁</t>
    <phoneticPr fontId="3" type="noConversion"/>
  </si>
  <si>
    <r>
      <rPr>
        <sz val="11"/>
        <rFont val="標楷體"/>
        <family val="4"/>
        <charset val="136"/>
      </rPr>
      <t>雞腿丁</t>
    </r>
    <phoneticPr fontId="3" type="noConversion"/>
  </si>
  <si>
    <t>老薑</t>
    <phoneticPr fontId="3" type="noConversion"/>
  </si>
  <si>
    <r>
      <rPr>
        <sz val="11"/>
        <color theme="1"/>
        <rFont val="標楷體"/>
        <family val="4"/>
        <charset val="136"/>
      </rPr>
      <t>洋蔥</t>
    </r>
    <phoneticPr fontId="3" type="noConversion"/>
  </si>
  <si>
    <t>甜麵醬</t>
    <phoneticPr fontId="3" type="noConversion"/>
  </si>
  <si>
    <t>1箱</t>
    <phoneticPr fontId="3" type="noConversion"/>
  </si>
  <si>
    <r>
      <rPr>
        <sz val="11"/>
        <rFont val="標楷體"/>
        <family val="4"/>
        <charset val="136"/>
      </rPr>
      <t>蒜粗</t>
    </r>
    <phoneticPr fontId="3" type="noConversion"/>
  </si>
  <si>
    <t>水果</t>
    <phoneticPr fontId="3" type="noConversion"/>
  </si>
  <si>
    <t>鮮蔬炒烏龍</t>
    <phoneticPr fontId="3" type="noConversion"/>
  </si>
  <si>
    <r>
      <rPr>
        <sz val="11"/>
        <rFont val="標楷體"/>
        <family val="4"/>
        <charset val="136"/>
      </rPr>
      <t>豬肉絲</t>
    </r>
    <phoneticPr fontId="3" type="noConversion"/>
  </si>
  <si>
    <r>
      <rPr>
        <sz val="11"/>
        <rFont val="標楷體"/>
        <family val="4"/>
        <charset val="136"/>
      </rPr>
      <t>黑木耳</t>
    </r>
  </si>
  <si>
    <r>
      <rPr>
        <sz val="11"/>
        <rFont val="標楷體"/>
        <family val="4"/>
        <charset val="136"/>
      </rPr>
      <t>小白菜</t>
    </r>
  </si>
  <si>
    <r>
      <rPr>
        <sz val="11"/>
        <rFont val="標楷體"/>
        <family val="4"/>
        <charset val="136"/>
      </rPr>
      <t>蒜泥</t>
    </r>
  </si>
  <si>
    <r>
      <rPr>
        <sz val="11"/>
        <rFont val="標楷體"/>
        <family val="4"/>
        <charset val="136"/>
      </rPr>
      <t>紅蘿蔔</t>
    </r>
    <phoneticPr fontId="3" type="noConversion"/>
  </si>
  <si>
    <r>
      <rPr>
        <sz val="11"/>
        <rFont val="標楷體"/>
        <family val="4"/>
        <charset val="136"/>
      </rPr>
      <t>筍籤</t>
    </r>
    <phoneticPr fontId="3" type="noConversion"/>
  </si>
  <si>
    <t>甜菜大骨湯</t>
    <phoneticPr fontId="3" type="noConversion"/>
  </si>
  <si>
    <t>大骨</t>
    <phoneticPr fontId="3" type="noConversion"/>
  </si>
  <si>
    <t>基隆市中正國民小學</t>
    <phoneticPr fontId="3" type="noConversion"/>
  </si>
  <si>
    <t>小黃瓜</t>
    <phoneticPr fontId="3" type="noConversion"/>
  </si>
  <si>
    <t>校外教學減17人</t>
    <phoneticPr fontId="3" type="noConversion"/>
  </si>
  <si>
    <t>豆漿175份</t>
    <phoneticPr fontId="3" type="noConversion"/>
  </si>
  <si>
    <r>
      <rPr>
        <sz val="12"/>
        <rFont val="標楷體"/>
        <family val="4"/>
        <charset val="136"/>
      </rPr>
      <t>細烏龍</t>
    </r>
    <r>
      <rPr>
        <sz val="12"/>
        <rFont val="Book Antiqua"/>
        <family val="1"/>
      </rPr>
      <t>28.2K</t>
    </r>
    <phoneticPr fontId="3" type="noConversion"/>
  </si>
  <si>
    <r>
      <rPr>
        <sz val="12"/>
        <rFont val="標楷體"/>
        <family val="4"/>
        <charset val="136"/>
      </rPr>
      <t>白飯</t>
    </r>
    <phoneticPr fontId="3" type="noConversion"/>
  </si>
  <si>
    <r>
      <rPr>
        <sz val="12"/>
        <rFont val="標楷體"/>
        <family val="4"/>
        <charset val="136"/>
      </rPr>
      <t>白飯</t>
    </r>
    <phoneticPr fontId="3" type="noConversion"/>
  </si>
  <si>
    <t>雜糧飯</t>
    <phoneticPr fontId="3" type="noConversion"/>
  </si>
  <si>
    <t>紅蘿蔔</t>
    <phoneticPr fontId="3" type="noConversion"/>
  </si>
  <si>
    <t>麵線羹</t>
    <phoneticPr fontId="3" type="noConversion"/>
  </si>
  <si>
    <t>豬柳</t>
    <phoneticPr fontId="3" type="noConversion"/>
  </si>
  <si>
    <t>洋蔥雞丁</t>
    <phoneticPr fontId="3" type="noConversion"/>
  </si>
  <si>
    <t>雞腿丁</t>
    <phoneticPr fontId="3" type="noConversion"/>
  </si>
  <si>
    <r>
      <rPr>
        <sz val="11"/>
        <color theme="1"/>
        <rFont val="標楷體"/>
        <family val="4"/>
        <charset val="136"/>
      </rPr>
      <t>洋蔥</t>
    </r>
    <phoneticPr fontId="3" type="noConversion"/>
  </si>
  <si>
    <t>冬瓜封肉</t>
    <phoneticPr fontId="3" type="noConversion"/>
  </si>
  <si>
    <r>
      <rPr>
        <sz val="11"/>
        <rFont val="標楷體"/>
        <family val="4"/>
        <charset val="136"/>
      </rPr>
      <t>豬肉丁</t>
    </r>
    <phoneticPr fontId="3" type="noConversion"/>
  </si>
  <si>
    <r>
      <rPr>
        <sz val="11"/>
        <rFont val="標楷體"/>
        <family val="4"/>
        <charset val="136"/>
      </rPr>
      <t>冬瓜</t>
    </r>
    <phoneticPr fontId="3" type="noConversion"/>
  </si>
  <si>
    <r>
      <rPr>
        <sz val="11"/>
        <rFont val="標楷體"/>
        <family val="4"/>
        <charset val="136"/>
      </rPr>
      <t>紅蘿蔔</t>
    </r>
    <phoneticPr fontId="3" type="noConversion"/>
  </si>
  <si>
    <r>
      <t>275</t>
    </r>
    <r>
      <rPr>
        <sz val="11"/>
        <color indexed="8"/>
        <rFont val="標楷體"/>
        <family val="4"/>
        <charset val="136"/>
      </rPr>
      <t>支</t>
    </r>
    <phoneticPr fontId="3" type="noConversion"/>
  </si>
  <si>
    <t>蒜味燒雞</t>
    <phoneticPr fontId="3" type="noConversion"/>
  </si>
  <si>
    <r>
      <rPr>
        <sz val="11"/>
        <rFont val="標楷體"/>
        <family val="4"/>
        <charset val="136"/>
      </rPr>
      <t>雞腿丁</t>
    </r>
    <phoneticPr fontId="47" type="noConversion"/>
  </si>
  <si>
    <r>
      <rPr>
        <sz val="11"/>
        <rFont val="標楷體"/>
        <family val="4"/>
        <charset val="136"/>
      </rPr>
      <t>蒜粗</t>
    </r>
  </si>
  <si>
    <r>
      <rPr>
        <sz val="11"/>
        <rFont val="標楷體"/>
        <family val="4"/>
        <charset val="136"/>
      </rPr>
      <t>洋蔥</t>
    </r>
    <phoneticPr fontId="47" type="noConversion"/>
  </si>
  <si>
    <r>
      <rPr>
        <sz val="11"/>
        <rFont val="標楷體"/>
        <family val="4"/>
        <charset val="136"/>
      </rPr>
      <t>紅蘿蔔</t>
    </r>
    <phoneticPr fontId="47" type="noConversion"/>
  </si>
  <si>
    <t>沙茶豆腐煲</t>
    <phoneticPr fontId="3" type="noConversion"/>
  </si>
  <si>
    <t>2中罐</t>
    <phoneticPr fontId="3" type="noConversion"/>
  </si>
  <si>
    <t>瓜仔肉</t>
    <phoneticPr fontId="3" type="noConversion"/>
  </si>
  <si>
    <r>
      <rPr>
        <sz val="11"/>
        <rFont val="標楷體"/>
        <family val="4"/>
        <charset val="136"/>
      </rPr>
      <t>豬絞肉</t>
    </r>
    <phoneticPr fontId="3" type="noConversion"/>
  </si>
  <si>
    <r>
      <rPr>
        <sz val="11"/>
        <rFont val="標楷體"/>
        <family val="4"/>
        <charset val="136"/>
      </rPr>
      <t>豆干丁</t>
    </r>
    <phoneticPr fontId="3" type="noConversion"/>
  </si>
  <si>
    <r>
      <rPr>
        <sz val="11"/>
        <rFont val="標楷體"/>
        <family val="4"/>
        <charset val="136"/>
      </rPr>
      <t>碎花瓜</t>
    </r>
    <phoneticPr fontId="3" type="noConversion"/>
  </si>
  <si>
    <t>豆腐含有豐富的蛋白質、鈣、維生素E、卵磷脂、半胱胺酸等營養素。豆腐中含有豐富的大豆蛋白，它不含膽固醇和脂肪，有助於心血管疾病的預防；而豆腐中的維生素E，可以防衰老。</t>
    <phoneticPr fontId="3" type="noConversion"/>
  </si>
  <si>
    <t>豆乾是由豆類製成，含有均衡的植物性蛋白質；另外含有維生素B1、B2、B12、鈣、磷、鐵、鉀、鈉、胡蘿蔔素等多種成分。</t>
    <phoneticPr fontId="3" type="noConversion"/>
  </si>
  <si>
    <r>
      <t>275</t>
    </r>
    <r>
      <rPr>
        <sz val="11"/>
        <rFont val="標楷體"/>
        <family val="4"/>
        <charset val="136"/>
      </rPr>
      <t>個</t>
    </r>
    <phoneticPr fontId="3" type="noConversion"/>
  </si>
  <si>
    <t>每人一份</t>
    <phoneticPr fontId="3" type="noConversion"/>
  </si>
  <si>
    <r>
      <rPr>
        <sz val="11"/>
        <rFont val="Book Antiqua"/>
        <family val="1"/>
      </rPr>
      <t>175</t>
    </r>
    <r>
      <rPr>
        <sz val="11"/>
        <rFont val="標楷體"/>
        <family val="4"/>
        <charset val="136"/>
      </rPr>
      <t>個</t>
    </r>
    <phoneticPr fontId="3" type="noConversion"/>
  </si>
  <si>
    <t>紅麵線12K</t>
    <phoneticPr fontId="3" type="noConversion"/>
  </si>
  <si>
    <t>冬瓜除了具有清熱消火的作用之外，因維生素C含量高，可幫助細胞間膠原蛋白形成，具有美化肌膚之效。</t>
    <phoneticPr fontId="3" type="noConversion"/>
  </si>
  <si>
    <t>筍乾扣肉</t>
    <phoneticPr fontId="3" type="noConversion"/>
  </si>
  <si>
    <t>豬肉丁</t>
    <phoneticPr fontId="3" type="noConversion"/>
  </si>
  <si>
    <t>蒜粗</t>
    <phoneticPr fontId="3" type="noConversion"/>
  </si>
  <si>
    <t xml:space="preserve"> </t>
    <phoneticPr fontId="3" type="noConversion"/>
  </si>
  <si>
    <t>筍乾</t>
    <phoneticPr fontId="3" type="noConversion"/>
  </si>
  <si>
    <r>
      <rPr>
        <sz val="12"/>
        <rFont val="標楷體"/>
        <family val="4"/>
        <charset val="136"/>
      </rPr>
      <t>粉絲雜燴</t>
    </r>
    <phoneticPr fontId="3" type="noConversion"/>
  </si>
  <si>
    <r>
      <rPr>
        <sz val="12"/>
        <rFont val="標楷體"/>
        <family val="4"/>
        <charset val="136"/>
      </rPr>
      <t>豬肉絲</t>
    </r>
    <phoneticPr fontId="3" type="noConversion"/>
  </si>
  <si>
    <r>
      <rPr>
        <sz val="12"/>
        <rFont val="標楷體"/>
        <family val="4"/>
        <charset val="136"/>
      </rPr>
      <t>黑木耳</t>
    </r>
    <phoneticPr fontId="3" type="noConversion"/>
  </si>
  <si>
    <r>
      <rPr>
        <sz val="12"/>
        <rFont val="標楷體"/>
        <family val="4"/>
        <charset val="136"/>
      </rPr>
      <t>紅蘿蔔</t>
    </r>
    <phoneticPr fontId="3" type="noConversion"/>
  </si>
  <si>
    <r>
      <t>21</t>
    </r>
    <r>
      <rPr>
        <sz val="11"/>
        <rFont val="標楷體"/>
        <family val="4"/>
        <charset val="136"/>
      </rPr>
      <t>顆</t>
    </r>
    <phoneticPr fontId="3" type="noConversion"/>
  </si>
  <si>
    <t>麵筋高麗菜</t>
    <phoneticPr fontId="3" type="noConversion"/>
  </si>
  <si>
    <t>時蔬</t>
    <phoneticPr fontId="3" type="noConversion"/>
  </si>
  <si>
    <t>不用送</t>
    <phoneticPr fontId="3" type="noConversion"/>
  </si>
  <si>
    <t>雞架</t>
    <phoneticPr fontId="3" type="noConversion"/>
  </si>
  <si>
    <t>滑蛋黃瓜</t>
    <phoneticPr fontId="3" type="noConversion"/>
  </si>
  <si>
    <r>
      <rPr>
        <sz val="11"/>
        <rFont val="標楷體"/>
        <family val="4"/>
        <charset val="136"/>
      </rPr>
      <t>大黃瓜</t>
    </r>
    <phoneticPr fontId="3" type="noConversion"/>
  </si>
  <si>
    <r>
      <rPr>
        <sz val="11"/>
        <rFont val="標楷體"/>
        <family val="4"/>
        <charset val="136"/>
      </rPr>
      <t>雞蛋</t>
    </r>
    <phoneticPr fontId="3" type="noConversion"/>
  </si>
  <si>
    <t>涼薯營養豐富，含有人體所必需的鈣、鐵、鋅、銅、磷等多種元素。</t>
    <phoneticPr fontId="3" type="noConversion"/>
  </si>
  <si>
    <t>豬肉能夠提供身體所需的蛋白質、脂肪、維生素及礦物質，能幫助修復身體組織、加強免疫力、保護器官功能。所含的磷能製造骨骼與牙齒所需營養、幫助神經功能保持正常。</t>
    <phoneticPr fontId="3" type="noConversion"/>
  </si>
  <si>
    <t>南瓜所含的β胡蘿蔔素為超級抗氧化物，具有防癌功效、增強免疫力作用、保護眼力。</t>
    <phoneticPr fontId="3" type="noConversion"/>
  </si>
  <si>
    <t>牛蒡中的胡蘿蔔素有保護黏膜細胞，避免感染作用；鉀則可以降低血壓。鈣和鎂在體內有互相拮抗的角色，用以維持肌肉及精神系統的功能正常。</t>
    <phoneticPr fontId="3" type="noConversion"/>
  </si>
  <si>
    <t>馬鈴薯營養價值很高，含有澱粉、蛋白質、多種維生素、鐵、鈣及磷，其蛋白質屬於完全蛋白，能有效被人體吸收。</t>
    <phoneticPr fontId="3" type="noConversion"/>
  </si>
  <si>
    <t>芋頭所含的礦物質非常豐富，鉀可幫助降血壓，氟可保護牙齒及預防蛀牙。</t>
    <phoneticPr fontId="3" type="noConversion"/>
  </si>
  <si>
    <t>綠花椰菜是維生素(A、C、K)、葉酸以及膳食纖維的最佳來源。而平日愛吃油炸、燒烤類食物的人，或是長時間曝露於汙染環境中者，不妨多多攝取。</t>
    <phoneticPr fontId="3" type="noConversion"/>
  </si>
  <si>
    <t>鮮奶173份 豆漿2份</t>
    <phoneticPr fontId="3" type="noConversion"/>
  </si>
  <si>
    <t>豬肉片</t>
    <phoneticPr fontId="3" type="noConversion"/>
  </si>
  <si>
    <r>
      <rPr>
        <sz val="11"/>
        <color rgb="FFFF0000"/>
        <rFont val="標楷體"/>
        <family val="4"/>
        <charset val="136"/>
      </rPr>
      <t>紅蘿蔔</t>
    </r>
    <phoneticPr fontId="47" type="noConversion"/>
  </si>
  <si>
    <t>海帶湯</t>
    <phoneticPr fontId="3" type="noConversion"/>
  </si>
  <si>
    <t>海帶根</t>
    <phoneticPr fontId="3" type="noConversion"/>
  </si>
  <si>
    <t>薑絲</t>
    <phoneticPr fontId="3" type="noConversion"/>
  </si>
  <si>
    <t>蒟蒻白菜</t>
    <phoneticPr fontId="3" type="noConversion"/>
  </si>
  <si>
    <t>寬粉</t>
    <phoneticPr fontId="3" type="noConversion"/>
  </si>
  <si>
    <r>
      <rPr>
        <sz val="11"/>
        <color rgb="FFFF0000"/>
        <rFont val="標楷體"/>
        <family val="4"/>
        <charset val="136"/>
      </rPr>
      <t>白蘿蔔</t>
    </r>
  </si>
  <si>
    <t>冷凍玉米粒</t>
    <phoneticPr fontId="47" type="noConversion"/>
  </si>
  <si>
    <t>黃地瓜</t>
    <phoneticPr fontId="3" type="noConversion"/>
  </si>
  <si>
    <t>地瓜湯</t>
    <phoneticPr fontId="3" type="noConversion"/>
  </si>
  <si>
    <t>紅蘿蔔</t>
    <phoneticPr fontId="3" type="noConversion"/>
  </si>
  <si>
    <t>蔥</t>
    <phoneticPr fontId="3" type="noConversion"/>
  </si>
  <si>
    <t>豆瓣醬</t>
    <phoneticPr fontId="3" type="noConversion"/>
  </si>
  <si>
    <t>麻婆豆腐</t>
    <phoneticPr fontId="3" type="noConversion"/>
  </si>
  <si>
    <t>板豆腐</t>
    <phoneticPr fontId="3" type="noConversion"/>
  </si>
  <si>
    <t>玉米炒蛋</t>
    <phoneticPr fontId="3" type="noConversion"/>
  </si>
  <si>
    <t>冷凍玉米粒</t>
    <phoneticPr fontId="3" type="noConversion"/>
  </si>
  <si>
    <t>銀蘿滷肉</t>
    <phoneticPr fontId="3" type="noConversion"/>
  </si>
  <si>
    <t>豬肉絲</t>
    <phoneticPr fontId="3" type="noConversion"/>
  </si>
  <si>
    <t>高麗菜</t>
    <phoneticPr fontId="3" type="noConversion"/>
  </si>
  <si>
    <t>紅蘿蔔</t>
  </si>
  <si>
    <r>
      <t>1</t>
    </r>
    <r>
      <rPr>
        <sz val="12"/>
        <rFont val="標楷體"/>
        <family val="4"/>
        <charset val="136"/>
      </rPr>
      <t>桶</t>
    </r>
    <phoneticPr fontId="47" type="noConversion"/>
  </si>
  <si>
    <t>板豆腐</t>
    <phoneticPr fontId="3" type="noConversion"/>
  </si>
  <si>
    <t>豬絞肉</t>
    <phoneticPr fontId="3" type="noConversion"/>
  </si>
  <si>
    <t>1箱</t>
    <phoneticPr fontId="3" type="noConversion"/>
  </si>
  <si>
    <t>肉羹</t>
    <phoneticPr fontId="3" type="noConversion"/>
  </si>
  <si>
    <t>香菜</t>
  </si>
  <si>
    <t>油蔥酥</t>
  </si>
  <si>
    <t>1包</t>
  </si>
  <si>
    <t>蘿蔔魚丸湯</t>
    <phoneticPr fontId="3" type="noConversion"/>
  </si>
  <si>
    <t>小魚丸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</si>
</sst>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"/>
    <numFmt numFmtId="177" formatCode="m&quot;月&quot;d&quot;日&quot;"/>
    <numFmt numFmtId="178" formatCode="0.0_ "/>
    <numFmt numFmtId="179" formatCode="0.00_);[Red]\(0.00\)"/>
    <numFmt numFmtId="180" formatCode="0.0"/>
    <numFmt numFmtId="181" formatCode="0.0%"/>
  </numFmts>
  <fonts count="60"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1"/>
      <name val="標楷體"/>
      <family val="4"/>
      <charset val="136"/>
    </font>
    <font>
      <sz val="7"/>
      <name val="標楷體"/>
      <family val="4"/>
      <charset val="136"/>
    </font>
    <font>
      <sz val="10"/>
      <color indexed="16"/>
      <name val="標楷體"/>
      <family val="4"/>
      <charset val="136"/>
    </font>
    <font>
      <sz val="12"/>
      <name val="Book Antiqua"/>
      <family val="1"/>
    </font>
    <font>
      <sz val="7"/>
      <name val="Book Antiqua"/>
      <family val="1"/>
    </font>
    <font>
      <b/>
      <sz val="11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name val="Book Antiqua"/>
      <family val="1"/>
    </font>
    <font>
      <sz val="11"/>
      <color indexed="8"/>
      <name val="Book Antiqua"/>
      <family val="1"/>
    </font>
    <font>
      <sz val="11"/>
      <color theme="1"/>
      <name val="Book Antiqua"/>
      <family val="1"/>
    </font>
    <font>
      <sz val="11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1"/>
      <name val="Book Antiqua"/>
      <family val="1"/>
    </font>
    <font>
      <sz val="10"/>
      <name val="Book Antiqua"/>
      <family val="1"/>
    </font>
    <font>
      <sz val="10"/>
      <color indexed="10"/>
      <name val="Book Antiqua"/>
      <family val="1"/>
    </font>
    <font>
      <sz val="11"/>
      <color indexed="10"/>
      <name val="Book Antiqua"/>
      <family val="1"/>
    </font>
    <font>
      <b/>
      <sz val="11"/>
      <color rgb="FFFF000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b/>
      <sz val="12"/>
      <name val="標楷體"/>
      <family val="4"/>
      <charset val="136"/>
    </font>
    <font>
      <b/>
      <sz val="12"/>
      <name val="Book Antiqua"/>
      <family val="1"/>
    </font>
    <font>
      <sz val="12"/>
      <color theme="1"/>
      <name val="新細明體"/>
      <family val="2"/>
      <scheme val="minor"/>
    </font>
    <font>
      <sz val="11"/>
      <color rgb="FFFF0000"/>
      <name val="Book Antiqua"/>
      <family val="1"/>
    </font>
    <font>
      <sz val="11"/>
      <color rgb="FF00B0F0"/>
      <name val="Book Antiqua"/>
      <family val="1"/>
    </font>
    <font>
      <sz val="6"/>
      <name val="標楷體"/>
      <family val="4"/>
      <charset val="136"/>
    </font>
    <font>
      <sz val="6"/>
      <name val="Book Antiqua"/>
      <family val="1"/>
    </font>
    <font>
      <sz val="10"/>
      <color indexed="16"/>
      <name val="Book Antiqua"/>
      <family val="1"/>
    </font>
    <font>
      <sz val="12"/>
      <color indexed="8"/>
      <name val="Book Antiqua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color rgb="FF00B0F0"/>
      <name val="標楷體"/>
      <family val="4"/>
      <charset val="136"/>
    </font>
    <font>
      <sz val="12"/>
      <color rgb="FF00B0F0"/>
      <name val="Book Antiqua"/>
      <family val="1"/>
    </font>
    <font>
      <sz val="11"/>
      <color rgb="FF00B0F0"/>
      <name val="標楷體"/>
      <family val="4"/>
      <charset val="136"/>
    </font>
    <font>
      <sz val="10"/>
      <name val="標楷體"/>
      <family val="4"/>
      <charset val="136"/>
    </font>
    <font>
      <sz val="11"/>
      <color theme="0"/>
      <name val="Book Antiqua"/>
      <family val="1"/>
    </font>
    <font>
      <sz val="11"/>
      <color theme="0"/>
      <name val="新細明體"/>
      <family val="1"/>
      <charset val="136"/>
    </font>
    <font>
      <sz val="10"/>
      <color theme="0"/>
      <name val="新細明體"/>
      <family val="1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Book Antiqua"/>
      <family val="1"/>
    </font>
    <font>
      <sz val="1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7" fillId="0" borderId="0"/>
    <xf numFmtId="0" fontId="38" fillId="0" borderId="0"/>
    <xf numFmtId="0" fontId="27" fillId="0" borderId="0"/>
  </cellStyleXfs>
  <cellXfs count="33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76" fontId="2" fillId="0" borderId="12" xfId="0" applyNumberFormat="1" applyFont="1" applyBorder="1" applyAlignment="1" applyProtection="1">
      <alignment vertical="center"/>
      <protection hidden="1"/>
    </xf>
    <xf numFmtId="176" fontId="2" fillId="0" borderId="11" xfId="0" applyNumberFormat="1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176" fontId="2" fillId="0" borderId="22" xfId="0" applyNumberFormat="1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10" fontId="2" fillId="0" borderId="22" xfId="0" applyNumberFormat="1" applyFont="1" applyBorder="1" applyAlignment="1" applyProtection="1">
      <alignment vertical="center"/>
      <protection hidden="1"/>
    </xf>
    <xf numFmtId="179" fontId="7" fillId="3" borderId="30" xfId="0" applyNumberFormat="1" applyFont="1" applyFill="1" applyBorder="1" applyAlignment="1" applyProtection="1">
      <alignment vertical="center"/>
      <protection locked="0"/>
    </xf>
    <xf numFmtId="179" fontId="8" fillId="0" borderId="31" xfId="0" applyNumberFormat="1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176" fontId="2" fillId="0" borderId="33" xfId="0" applyNumberFormat="1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24" fillId="4" borderId="6" xfId="0" applyFont="1" applyFill="1" applyBorder="1" applyAlignment="1">
      <alignment horizontal="center" vertical="center" shrinkToFit="1"/>
    </xf>
    <xf numFmtId="1" fontId="23" fillId="4" borderId="2" xfId="0" applyNumberFormat="1" applyFont="1" applyFill="1" applyBorder="1" applyAlignment="1">
      <alignment horizontal="center" vertical="center" shrinkToFit="1"/>
    </xf>
    <xf numFmtId="1" fontId="23" fillId="4" borderId="6" xfId="0" applyNumberFormat="1" applyFont="1" applyFill="1" applyBorder="1" applyAlignment="1">
      <alignment horizontal="center" vertical="center" shrinkToFit="1"/>
    </xf>
    <xf numFmtId="1" fontId="23" fillId="4" borderId="8" xfId="0" applyNumberFormat="1" applyFont="1" applyFill="1" applyBorder="1" applyAlignment="1">
      <alignment horizontal="center" vertical="center" shrinkToFit="1"/>
    </xf>
    <xf numFmtId="180" fontId="25" fillId="4" borderId="0" xfId="0" applyNumberFormat="1" applyFont="1" applyFill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 shrinkToFit="1"/>
    </xf>
    <xf numFmtId="0" fontId="24" fillId="4" borderId="8" xfId="0" applyFont="1" applyFill="1" applyBorder="1" applyAlignment="1">
      <alignment horizontal="center" vertical="center" shrinkToFit="1"/>
    </xf>
    <xf numFmtId="0" fontId="25" fillId="4" borderId="0" xfId="0" applyFont="1" applyFill="1" applyAlignment="1">
      <alignment horizontal="center" vertical="center" shrinkToFit="1"/>
    </xf>
    <xf numFmtId="1" fontId="24" fillId="4" borderId="6" xfId="0" applyNumberFormat="1" applyFont="1" applyFill="1" applyBorder="1" applyAlignment="1">
      <alignment horizontal="center" vertical="center" shrinkToFit="1"/>
    </xf>
    <xf numFmtId="0" fontId="17" fillId="4" borderId="0" xfId="0" applyFont="1" applyFill="1" applyAlignment="1">
      <alignment vertical="center" shrinkToFit="1"/>
    </xf>
    <xf numFmtId="0" fontId="23" fillId="4" borderId="44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horizontal="center" vertical="center" shrinkToFit="1"/>
    </xf>
    <xf numFmtId="0" fontId="23" fillId="4" borderId="43" xfId="0" applyFont="1" applyFill="1" applyBorder="1" applyAlignment="1">
      <alignment horizontal="left" vertical="center" shrinkToFit="1"/>
    </xf>
    <xf numFmtId="0" fontId="23" fillId="4" borderId="44" xfId="0" applyFont="1" applyFill="1" applyBorder="1" applyAlignment="1">
      <alignment horizontal="left" vertical="center" shrinkToFit="1"/>
    </xf>
    <xf numFmtId="0" fontId="23" fillId="4" borderId="45" xfId="0" applyFont="1" applyFill="1" applyBorder="1" applyAlignment="1">
      <alignment horizontal="left" vertical="center" shrinkToFit="1"/>
    </xf>
    <xf numFmtId="0" fontId="24" fillId="4" borderId="6" xfId="0" applyFont="1" applyFill="1" applyBorder="1" applyAlignment="1">
      <alignment horizontal="left" vertical="center" shrinkToFit="1"/>
    </xf>
    <xf numFmtId="1" fontId="24" fillId="4" borderId="8" xfId="0" applyNumberFormat="1" applyFont="1" applyFill="1" applyBorder="1" applyAlignment="1">
      <alignment horizontal="center" vertical="center" shrinkToFit="1"/>
    </xf>
    <xf numFmtId="0" fontId="24" fillId="4" borderId="8" xfId="0" applyFont="1" applyFill="1" applyBorder="1" applyAlignment="1">
      <alignment horizontal="left" vertical="center" shrinkToFit="1"/>
    </xf>
    <xf numFmtId="1" fontId="23" fillId="4" borderId="6" xfId="1" applyNumberFormat="1" applyFont="1" applyFill="1" applyBorder="1" applyAlignment="1">
      <alignment horizontal="center" vertical="center" shrinkToFit="1"/>
    </xf>
    <xf numFmtId="0" fontId="34" fillId="4" borderId="0" xfId="0" applyFont="1" applyFill="1" applyAlignment="1">
      <alignment horizontal="center" vertical="center" shrinkToFit="1"/>
    </xf>
    <xf numFmtId="0" fontId="29" fillId="4" borderId="0" xfId="0" applyFont="1" applyFill="1" applyAlignment="1">
      <alignment horizontal="center" vertical="center" shrinkToFit="1"/>
    </xf>
    <xf numFmtId="180" fontId="23" fillId="4" borderId="2" xfId="0" applyNumberFormat="1" applyFont="1" applyFill="1" applyBorder="1" applyAlignment="1">
      <alignment horizontal="center" vertical="center" shrinkToFit="1"/>
    </xf>
    <xf numFmtId="0" fontId="14" fillId="4" borderId="47" xfId="0" applyFont="1" applyFill="1" applyBorder="1" applyAlignment="1">
      <alignment vertical="center" shrinkToFit="1"/>
    </xf>
    <xf numFmtId="0" fontId="36" fillId="4" borderId="47" xfId="0" applyFont="1" applyFill="1" applyBorder="1" applyAlignment="1">
      <alignment vertical="center" shrinkToFit="1"/>
    </xf>
    <xf numFmtId="0" fontId="37" fillId="4" borderId="47" xfId="0" applyFont="1" applyFill="1" applyBorder="1" applyAlignment="1">
      <alignment vertical="center" shrinkToFit="1"/>
    </xf>
    <xf numFmtId="0" fontId="23" fillId="4" borderId="0" xfId="0" applyNumberFormat="1" applyFont="1" applyFill="1" applyAlignment="1">
      <alignment horizontal="center" vertical="center" shrinkToFit="1"/>
    </xf>
    <xf numFmtId="0" fontId="28" fillId="4" borderId="47" xfId="0" applyFont="1" applyFill="1" applyBorder="1" applyAlignment="1">
      <alignment vertical="center" shrinkToFit="1"/>
    </xf>
    <xf numFmtId="0" fontId="39" fillId="4" borderId="2" xfId="0" applyFont="1" applyFill="1" applyBorder="1" applyAlignment="1">
      <alignment horizontal="center" vertical="center" shrinkToFit="1"/>
    </xf>
    <xf numFmtId="0" fontId="25" fillId="4" borderId="6" xfId="2" applyFont="1" applyFill="1" applyBorder="1" applyAlignment="1">
      <alignment horizontal="center" vertical="center" shrinkToFit="1"/>
    </xf>
    <xf numFmtId="0" fontId="23" fillId="4" borderId="6" xfId="2" applyFont="1" applyFill="1" applyBorder="1" applyAlignment="1">
      <alignment horizontal="center" vertical="center" shrinkToFit="1"/>
    </xf>
    <xf numFmtId="180" fontId="24" fillId="4" borderId="6" xfId="0" applyNumberFormat="1" applyFont="1" applyFill="1" applyBorder="1" applyAlignment="1">
      <alignment horizontal="center" vertical="center" shrinkToFit="1"/>
    </xf>
    <xf numFmtId="0" fontId="40" fillId="4" borderId="8" xfId="0" applyFont="1" applyFill="1" applyBorder="1" applyAlignment="1">
      <alignment horizontal="center" vertical="center" shrinkToFit="1"/>
    </xf>
    <xf numFmtId="0" fontId="40" fillId="4" borderId="6" xfId="0" applyFont="1" applyFill="1" applyBorder="1" applyAlignment="1">
      <alignment horizontal="center" vertical="center" shrinkToFit="1"/>
    </xf>
    <xf numFmtId="0" fontId="23" fillId="4" borderId="6" xfId="0" applyFont="1" applyFill="1" applyBorder="1" applyAlignment="1">
      <alignment horizontal="center" vertical="center"/>
    </xf>
    <xf numFmtId="180" fontId="24" fillId="4" borderId="2" xfId="0" applyNumberFormat="1" applyFont="1" applyFill="1" applyBorder="1" applyAlignment="1">
      <alignment horizontal="center" vertical="center" shrinkToFit="1"/>
    </xf>
    <xf numFmtId="180" fontId="23" fillId="4" borderId="6" xfId="0" applyNumberFormat="1" applyFont="1" applyFill="1" applyBorder="1" applyAlignment="1">
      <alignment horizontal="center" vertical="center" shrinkToFit="1"/>
    </xf>
    <xf numFmtId="0" fontId="17" fillId="4" borderId="0" xfId="0" applyFont="1" applyFill="1" applyAlignment="1">
      <alignment vertical="center" wrapText="1" shrinkToFit="1"/>
    </xf>
    <xf numFmtId="0" fontId="23" fillId="4" borderId="0" xfId="0" applyFont="1" applyFill="1" applyAlignment="1">
      <alignment vertical="center" wrapText="1" shrinkToFit="1"/>
    </xf>
    <xf numFmtId="1" fontId="23" fillId="4" borderId="8" xfId="1" applyNumberFormat="1" applyFont="1" applyFill="1" applyBorder="1" applyAlignment="1">
      <alignment horizontal="center" vertical="center" shrinkToFit="1"/>
    </xf>
    <xf numFmtId="180" fontId="40" fillId="4" borderId="6" xfId="0" applyNumberFormat="1" applyFont="1" applyFill="1" applyBorder="1" applyAlignment="1">
      <alignment horizontal="center" vertical="center" shrinkToFit="1"/>
    </xf>
    <xf numFmtId="180" fontId="40" fillId="4" borderId="8" xfId="0" applyNumberFormat="1" applyFont="1" applyFill="1" applyBorder="1" applyAlignment="1">
      <alignment horizontal="center" vertical="center" shrinkToFit="1"/>
    </xf>
    <xf numFmtId="180" fontId="23" fillId="4" borderId="8" xfId="0" applyNumberFormat="1" applyFont="1" applyFill="1" applyBorder="1" applyAlignment="1">
      <alignment horizontal="center" vertical="center" shrinkToFit="1"/>
    </xf>
    <xf numFmtId="0" fontId="23" fillId="4" borderId="41" xfId="0" applyFont="1" applyFill="1" applyBorder="1" applyAlignment="1">
      <alignment horizontal="center" vertical="center" shrinkToFit="1"/>
    </xf>
    <xf numFmtId="12" fontId="23" fillId="4" borderId="0" xfId="0" applyNumberFormat="1" applyFont="1" applyFill="1" applyAlignment="1">
      <alignment horizontal="center" vertical="center" shrinkToFit="1"/>
    </xf>
    <xf numFmtId="0" fontId="10" fillId="4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1" fontId="23" fillId="4" borderId="2" xfId="1" applyNumberFormat="1" applyFont="1" applyFill="1" applyBorder="1" applyAlignment="1">
      <alignment horizontal="center" vertical="center" shrinkToFit="1"/>
    </xf>
    <xf numFmtId="0" fontId="23" fillId="4" borderId="6" xfId="1" applyFont="1" applyFill="1" applyBorder="1" applyAlignment="1">
      <alignment horizontal="center" vertical="center" shrinkToFit="1"/>
    </xf>
    <xf numFmtId="0" fontId="29" fillId="4" borderId="0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left" vertical="center" shrinkToFit="1"/>
    </xf>
    <xf numFmtId="0" fontId="23" fillId="4" borderId="46" xfId="0" applyFont="1" applyFill="1" applyBorder="1" applyAlignment="1">
      <alignment horizontal="center" vertical="center" shrinkToFit="1"/>
    </xf>
    <xf numFmtId="1" fontId="25" fillId="4" borderId="8" xfId="0" applyNumberFormat="1" applyFont="1" applyFill="1" applyBorder="1" applyAlignment="1">
      <alignment horizontal="center" vertical="center" shrinkToFit="1"/>
    </xf>
    <xf numFmtId="0" fontId="23" fillId="4" borderId="6" xfId="0" applyFont="1" applyFill="1" applyBorder="1" applyAlignment="1">
      <alignment horizontal="left" vertical="center" shrinkToFit="1"/>
    </xf>
    <xf numFmtId="0" fontId="23" fillId="4" borderId="2" xfId="0" applyFont="1" applyFill="1" applyBorder="1" applyAlignment="1">
      <alignment horizontal="left" vertical="center" shrinkToFit="1"/>
    </xf>
    <xf numFmtId="0" fontId="23" fillId="4" borderId="8" xfId="0" applyFont="1" applyFill="1" applyBorder="1" applyAlignment="1">
      <alignment horizontal="left" vertical="center" shrinkToFit="1"/>
    </xf>
    <xf numFmtId="0" fontId="23" fillId="4" borderId="46" xfId="0" applyFont="1" applyFill="1" applyBorder="1" applyAlignment="1">
      <alignment horizontal="left" vertical="center" shrinkToFit="1"/>
    </xf>
    <xf numFmtId="0" fontId="23" fillId="4" borderId="0" xfId="0" applyFont="1" applyFill="1" applyBorder="1" applyAlignment="1">
      <alignment horizontal="left" vertical="center" shrinkToFit="1"/>
    </xf>
    <xf numFmtId="0" fontId="23" fillId="4" borderId="47" xfId="0" applyFont="1" applyFill="1" applyBorder="1" applyAlignment="1">
      <alignment horizontal="left" vertical="center" shrinkToFit="1"/>
    </xf>
    <xf numFmtId="0" fontId="23" fillId="4" borderId="30" xfId="0" applyFont="1" applyFill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 shrinkToFit="1"/>
    </xf>
    <xf numFmtId="0" fontId="40" fillId="4" borderId="6" xfId="0" applyFont="1" applyFill="1" applyBorder="1" applyAlignment="1">
      <alignment horizontal="left" vertical="center" shrinkToFit="1"/>
    </xf>
    <xf numFmtId="180" fontId="23" fillId="4" borderId="0" xfId="0" applyNumberFormat="1" applyFont="1" applyFill="1" applyAlignment="1">
      <alignment horizontal="center" vertical="center" shrinkToFit="1"/>
    </xf>
    <xf numFmtId="0" fontId="23" fillId="4" borderId="2" xfId="1" applyFont="1" applyFill="1" applyBorder="1" applyAlignment="1">
      <alignment horizontal="center" vertical="center" shrinkToFit="1"/>
    </xf>
    <xf numFmtId="0" fontId="23" fillId="4" borderId="8" xfId="1" applyFont="1" applyFill="1" applyBorder="1" applyAlignment="1">
      <alignment horizontal="center" vertical="center" shrinkToFit="1"/>
    </xf>
    <xf numFmtId="0" fontId="40" fillId="4" borderId="0" xfId="0" applyFont="1" applyFill="1" applyBorder="1" applyAlignment="1">
      <alignment horizontal="center" vertical="center" shrinkToFit="1"/>
    </xf>
    <xf numFmtId="0" fontId="40" fillId="4" borderId="47" xfId="0" applyFont="1" applyFill="1" applyBorder="1" applyAlignment="1">
      <alignment horizontal="center" vertical="center" shrinkToFit="1"/>
    </xf>
    <xf numFmtId="181" fontId="23" fillId="4" borderId="0" xfId="0" applyNumberFormat="1" applyFont="1" applyFill="1" applyAlignment="1">
      <alignment horizontal="center" vertical="center" shrinkToFit="1"/>
    </xf>
    <xf numFmtId="0" fontId="23" fillId="4" borderId="45" xfId="0" applyFont="1" applyFill="1" applyBorder="1" applyAlignment="1">
      <alignment horizontal="center" vertical="center" shrinkToFit="1"/>
    </xf>
    <xf numFmtId="0" fontId="23" fillId="4" borderId="46" xfId="1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 shrinkToFit="1"/>
    </xf>
    <xf numFmtId="0" fontId="10" fillId="4" borderId="2" xfId="1" applyFont="1" applyFill="1" applyBorder="1" applyAlignment="1">
      <alignment horizontal="center" vertical="center" shrinkToFit="1"/>
    </xf>
    <xf numFmtId="0" fontId="45" fillId="4" borderId="0" xfId="0" applyFont="1" applyFill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shrinkToFit="1"/>
    </xf>
    <xf numFmtId="0" fontId="9" fillId="4" borderId="46" xfId="0" applyFont="1" applyFill="1" applyBorder="1" applyAlignment="1">
      <alignment horizontal="left" vertical="center" shrinkToFit="1"/>
    </xf>
    <xf numFmtId="0" fontId="9" fillId="4" borderId="0" xfId="0" applyFont="1" applyFill="1" applyBorder="1" applyAlignment="1">
      <alignment horizontal="left" vertical="center" shrinkToFit="1"/>
    </xf>
    <xf numFmtId="1" fontId="17" fillId="4" borderId="6" xfId="0" applyNumberFormat="1" applyFont="1" applyFill="1" applyBorder="1" applyAlignment="1">
      <alignment horizontal="center" vertical="center" shrinkToFit="1"/>
    </xf>
    <xf numFmtId="0" fontId="48" fillId="4" borderId="47" xfId="0" applyFont="1" applyFill="1" applyBorder="1" applyAlignment="1">
      <alignment horizontal="left" vertical="center" shrinkToFit="1"/>
    </xf>
    <xf numFmtId="0" fontId="49" fillId="4" borderId="8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26" fillId="4" borderId="6" xfId="2" applyFont="1" applyFill="1" applyBorder="1" applyAlignment="1">
      <alignment horizontal="center" vertical="center" shrinkToFit="1"/>
    </xf>
    <xf numFmtId="0" fontId="11" fillId="4" borderId="6" xfId="2" applyFont="1" applyFill="1" applyBorder="1" applyAlignment="1">
      <alignment horizontal="center" vertical="center" shrinkToFit="1"/>
    </xf>
    <xf numFmtId="0" fontId="10" fillId="4" borderId="6" xfId="2" applyFont="1" applyFill="1" applyBorder="1" applyAlignment="1">
      <alignment horizontal="center" vertical="center" shrinkToFit="1"/>
    </xf>
    <xf numFmtId="1" fontId="17" fillId="4" borderId="2" xfId="0" applyNumberFormat="1" applyFont="1" applyFill="1" applyBorder="1" applyAlignment="1">
      <alignment horizontal="center" vertical="center" shrinkToFit="1"/>
    </xf>
    <xf numFmtId="180" fontId="17" fillId="4" borderId="2" xfId="0" applyNumberFormat="1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44" fillId="4" borderId="2" xfId="0" applyFont="1" applyFill="1" applyBorder="1" applyAlignment="1">
      <alignment horizontal="center" vertical="center" shrinkToFit="1"/>
    </xf>
    <xf numFmtId="0" fontId="44" fillId="4" borderId="6" xfId="0" applyFont="1" applyFill="1" applyBorder="1" applyAlignment="1">
      <alignment horizontal="center" vertical="center" shrinkToFit="1"/>
    </xf>
    <xf numFmtId="0" fontId="44" fillId="4" borderId="8" xfId="0" applyFont="1" applyFill="1" applyBorder="1" applyAlignment="1">
      <alignment horizontal="center" vertical="center" shrinkToFit="1"/>
    </xf>
    <xf numFmtId="1" fontId="25" fillId="4" borderId="2" xfId="0" applyNumberFormat="1" applyFont="1" applyFill="1" applyBorder="1" applyAlignment="1">
      <alignment horizontal="center" vertical="center" shrinkToFit="1"/>
    </xf>
    <xf numFmtId="0" fontId="25" fillId="4" borderId="6" xfId="0" applyFont="1" applyFill="1" applyBorder="1" applyAlignment="1">
      <alignment horizontal="center" vertical="center" shrinkToFit="1"/>
    </xf>
    <xf numFmtId="1" fontId="25" fillId="4" borderId="6" xfId="0" applyNumberFormat="1" applyFont="1" applyFill="1" applyBorder="1" applyAlignment="1">
      <alignment horizontal="center" vertical="center" shrinkToFit="1"/>
    </xf>
    <xf numFmtId="0" fontId="50" fillId="4" borderId="45" xfId="0" applyFont="1" applyFill="1" applyBorder="1" applyAlignment="1">
      <alignment horizontal="center" vertical="center" shrinkToFit="1"/>
    </xf>
    <xf numFmtId="1" fontId="40" fillId="4" borderId="8" xfId="0" applyNumberFormat="1" applyFont="1" applyFill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center" vertical="center" shrinkToFit="1"/>
    </xf>
    <xf numFmtId="0" fontId="33" fillId="4" borderId="0" xfId="0" applyFont="1" applyFill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23" fillId="4" borderId="6" xfId="0" applyFont="1" applyFill="1" applyBorder="1" applyAlignment="1">
      <alignment horizontal="center" vertical="center" shrinkToFit="1"/>
    </xf>
    <xf numFmtId="0" fontId="23" fillId="4" borderId="8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17" fillId="4" borderId="30" xfId="0" applyFont="1" applyFill="1" applyBorder="1" applyAlignment="1">
      <alignment horizontal="center" vertical="center" shrinkToFit="1"/>
    </xf>
    <xf numFmtId="0" fontId="23" fillId="4" borderId="0" xfId="0" applyFont="1" applyFill="1" applyAlignment="1">
      <alignment horizontal="center" vertical="center" shrinkToFit="1"/>
    </xf>
    <xf numFmtId="0" fontId="23" fillId="4" borderId="47" xfId="0" applyFont="1" applyFill="1" applyBorder="1" applyAlignment="1">
      <alignment horizontal="center" vertical="center" shrinkToFit="1"/>
    </xf>
    <xf numFmtId="0" fontId="17" fillId="4" borderId="0" xfId="0" applyFont="1" applyFill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180" fontId="25" fillId="4" borderId="6" xfId="0" applyNumberFormat="1" applyFont="1" applyFill="1" applyBorder="1" applyAlignment="1">
      <alignment horizontal="center" vertical="center" shrinkToFit="1"/>
    </xf>
    <xf numFmtId="0" fontId="10" fillId="4" borderId="6" xfId="1" applyFont="1" applyFill="1" applyBorder="1" applyAlignment="1">
      <alignment horizontal="center" vertical="center" shrinkToFit="1"/>
    </xf>
    <xf numFmtId="0" fontId="10" fillId="4" borderId="47" xfId="0" applyFont="1" applyFill="1" applyBorder="1" applyAlignment="1">
      <alignment horizontal="center" vertical="center" shrinkToFit="1"/>
    </xf>
    <xf numFmtId="0" fontId="22" fillId="4" borderId="8" xfId="0" applyFont="1" applyFill="1" applyBorder="1" applyAlignment="1">
      <alignment horizontal="center" vertical="center" shrinkToFit="1"/>
    </xf>
    <xf numFmtId="1" fontId="44" fillId="4" borderId="8" xfId="0" applyNumberFormat="1" applyFont="1" applyFill="1" applyBorder="1" applyAlignment="1">
      <alignment horizontal="center" vertical="center" shrinkToFit="1"/>
    </xf>
    <xf numFmtId="180" fontId="23" fillId="4" borderId="2" xfId="0" applyNumberFormat="1" applyFont="1" applyFill="1" applyBorder="1" applyAlignment="1">
      <alignment horizontal="left" vertical="center" shrinkToFit="1"/>
    </xf>
    <xf numFmtId="1" fontId="23" fillId="4" borderId="41" xfId="1" applyNumberFormat="1" applyFont="1" applyFill="1" applyBorder="1" applyAlignment="1">
      <alignment horizontal="center" vertical="center" shrinkToFit="1"/>
    </xf>
    <xf numFmtId="0" fontId="51" fillId="4" borderId="2" xfId="0" applyFont="1" applyFill="1" applyBorder="1" applyAlignment="1">
      <alignment horizontal="center" vertical="center" shrinkToFit="1"/>
    </xf>
    <xf numFmtId="0" fontId="51" fillId="4" borderId="6" xfId="0" applyFont="1" applyFill="1" applyBorder="1" applyAlignment="1">
      <alignment horizontal="center" vertical="center" shrinkToFit="1"/>
    </xf>
    <xf numFmtId="0" fontId="51" fillId="4" borderId="8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 shrinkToFit="1"/>
    </xf>
    <xf numFmtId="0" fontId="28" fillId="4" borderId="43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0" fontId="28" fillId="4" borderId="44" xfId="0" applyFont="1" applyFill="1" applyBorder="1" applyAlignment="1">
      <alignment horizontal="center" vertical="center" shrinkToFit="1"/>
    </xf>
    <xf numFmtId="0" fontId="28" fillId="4" borderId="8" xfId="0" applyFont="1" applyFill="1" applyBorder="1" applyAlignment="1">
      <alignment horizontal="center" vertical="center" shrinkToFit="1"/>
    </xf>
    <xf numFmtId="0" fontId="28" fillId="4" borderId="45" xfId="0" applyFont="1" applyFill="1" applyBorder="1" applyAlignment="1">
      <alignment horizontal="center" vertical="center" shrinkToFit="1"/>
    </xf>
    <xf numFmtId="0" fontId="46" fillId="4" borderId="0" xfId="0" applyFont="1" applyFill="1" applyAlignment="1">
      <alignment horizontal="center" vertical="center" shrinkToFit="1"/>
    </xf>
    <xf numFmtId="0" fontId="10" fillId="4" borderId="41" xfId="0" applyFont="1" applyFill="1" applyBorder="1" applyAlignment="1">
      <alignment horizontal="center" vertical="center" shrinkToFit="1"/>
    </xf>
    <xf numFmtId="0" fontId="10" fillId="4" borderId="44" xfId="0" applyFont="1" applyFill="1" applyBorder="1" applyAlignment="1">
      <alignment horizontal="center" vertical="center" shrinkToFit="1"/>
    </xf>
    <xf numFmtId="0" fontId="39" fillId="4" borderId="8" xfId="0" applyFont="1" applyFill="1" applyBorder="1" applyAlignment="1">
      <alignment horizontal="center" vertical="center" shrinkToFit="1"/>
    </xf>
    <xf numFmtId="0" fontId="17" fillId="4" borderId="41" xfId="0" applyFont="1" applyFill="1" applyBorder="1" applyAlignment="1">
      <alignment horizontal="left" vertical="center" shrinkToFit="1"/>
    </xf>
    <xf numFmtId="0" fontId="17" fillId="4" borderId="6" xfId="0" applyFont="1" applyFill="1" applyBorder="1" applyAlignment="1">
      <alignment horizontal="left" vertical="center" shrinkToFit="1"/>
    </xf>
    <xf numFmtId="0" fontId="17" fillId="4" borderId="0" xfId="0" applyFont="1" applyFill="1" applyBorder="1" applyAlignment="1">
      <alignment horizontal="left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10" fillId="4" borderId="46" xfId="0" applyFont="1" applyFill="1" applyBorder="1" applyAlignment="1">
      <alignment horizontal="center" vertical="center" shrinkToFit="1"/>
    </xf>
    <xf numFmtId="0" fontId="23" fillId="4" borderId="2" xfId="3" applyFont="1" applyFill="1" applyBorder="1" applyAlignment="1">
      <alignment horizontal="center" vertical="center" shrinkToFit="1"/>
    </xf>
    <xf numFmtId="0" fontId="23" fillId="4" borderId="6" xfId="3" applyFont="1" applyFill="1" applyBorder="1" applyAlignment="1">
      <alignment horizontal="center" vertical="center" shrinkToFit="1"/>
    </xf>
    <xf numFmtId="0" fontId="23" fillId="4" borderId="8" xfId="3" applyFont="1" applyFill="1" applyBorder="1" applyAlignment="1">
      <alignment horizontal="center" vertical="center" shrinkToFit="1"/>
    </xf>
    <xf numFmtId="0" fontId="52" fillId="4" borderId="0" xfId="0" applyFont="1" applyFill="1" applyAlignment="1">
      <alignment horizontal="center" vertical="center" shrinkToFit="1"/>
    </xf>
    <xf numFmtId="0" fontId="53" fillId="4" borderId="0" xfId="0" applyFont="1" applyFill="1" applyAlignment="1">
      <alignment horizontal="center" vertical="center" shrinkToFit="1"/>
    </xf>
    <xf numFmtId="0" fontId="54" fillId="4" borderId="0" xfId="0" applyFont="1" applyFill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23" fillId="4" borderId="6" xfId="0" applyFont="1" applyFill="1" applyBorder="1" applyAlignment="1">
      <alignment horizontal="center" vertical="center" shrinkToFit="1"/>
    </xf>
    <xf numFmtId="0" fontId="56" fillId="4" borderId="8" xfId="0" applyFont="1" applyFill="1" applyBorder="1" applyAlignment="1">
      <alignment horizontal="center" vertical="center" shrinkToFit="1"/>
    </xf>
    <xf numFmtId="0" fontId="39" fillId="4" borderId="6" xfId="0" applyFont="1" applyFill="1" applyBorder="1" applyAlignment="1">
      <alignment horizontal="center" vertical="center" shrinkToFit="1"/>
    </xf>
    <xf numFmtId="0" fontId="56" fillId="4" borderId="6" xfId="0" applyFont="1" applyFill="1" applyBorder="1" applyAlignment="1">
      <alignment horizontal="center" vertical="center" shrinkToFit="1"/>
    </xf>
    <xf numFmtId="0" fontId="56" fillId="4" borderId="2" xfId="0" applyFont="1" applyFill="1" applyBorder="1" applyAlignment="1">
      <alignment horizontal="center" vertical="center" shrinkToFit="1"/>
    </xf>
    <xf numFmtId="0" fontId="39" fillId="4" borderId="8" xfId="1" applyFont="1" applyFill="1" applyBorder="1" applyAlignment="1">
      <alignment horizontal="center" vertical="center" shrinkToFit="1"/>
    </xf>
    <xf numFmtId="180" fontId="39" fillId="4" borderId="6" xfId="0" applyNumberFormat="1" applyFont="1" applyFill="1" applyBorder="1" applyAlignment="1">
      <alignment horizontal="center" vertical="center" shrinkToFit="1"/>
    </xf>
    <xf numFmtId="1" fontId="56" fillId="4" borderId="6" xfId="0" applyNumberFormat="1" applyFont="1" applyFill="1" applyBorder="1" applyAlignment="1">
      <alignment horizontal="center" vertical="center" shrinkToFit="1"/>
    </xf>
    <xf numFmtId="1" fontId="39" fillId="4" borderId="6" xfId="0" applyNumberFormat="1" applyFont="1" applyFill="1" applyBorder="1" applyAlignment="1">
      <alignment horizontal="center" vertical="center" shrinkToFit="1"/>
    </xf>
    <xf numFmtId="180" fontId="39" fillId="4" borderId="2" xfId="0" applyNumberFormat="1" applyFont="1" applyFill="1" applyBorder="1" applyAlignment="1">
      <alignment horizontal="center" vertical="center" shrinkToFit="1"/>
    </xf>
    <xf numFmtId="0" fontId="57" fillId="4" borderId="6" xfId="0" applyFont="1" applyFill="1" applyBorder="1" applyAlignment="1">
      <alignment horizontal="center" vertical="center" shrinkToFit="1"/>
    </xf>
    <xf numFmtId="0" fontId="39" fillId="4" borderId="6" xfId="0" applyFont="1" applyFill="1" applyBorder="1" applyAlignment="1">
      <alignment horizontal="center" vertical="center" shrinkToFit="1"/>
    </xf>
    <xf numFmtId="0" fontId="39" fillId="4" borderId="8" xfId="0" applyFont="1" applyFill="1" applyBorder="1" applyAlignment="1">
      <alignment horizontal="center" vertical="center" shrinkToFit="1"/>
    </xf>
    <xf numFmtId="1" fontId="58" fillId="4" borderId="8" xfId="0" applyNumberFormat="1" applyFont="1" applyFill="1" applyBorder="1" applyAlignment="1">
      <alignment horizontal="center" vertical="center" shrinkToFit="1"/>
    </xf>
    <xf numFmtId="0" fontId="56" fillId="4" borderId="8" xfId="1" applyFont="1" applyFill="1" applyBorder="1" applyAlignment="1">
      <alignment horizontal="center" vertical="center" shrinkToFit="1"/>
    </xf>
    <xf numFmtId="180" fontId="39" fillId="4" borderId="8" xfId="0" applyNumberFormat="1" applyFont="1" applyFill="1" applyBorder="1" applyAlignment="1">
      <alignment horizontal="center" vertical="center" shrinkToFit="1"/>
    </xf>
    <xf numFmtId="0" fontId="39" fillId="4" borderId="44" xfId="0" applyFont="1" applyFill="1" applyBorder="1" applyAlignment="1">
      <alignment horizontal="center" vertical="center" shrinkToFit="1"/>
    </xf>
    <xf numFmtId="0" fontId="56" fillId="4" borderId="2" xfId="1" applyFont="1" applyFill="1" applyBorder="1" applyAlignment="1">
      <alignment horizontal="center" vertical="center" shrinkToFit="1"/>
    </xf>
    <xf numFmtId="1" fontId="56" fillId="4" borderId="2" xfId="0" applyNumberFormat="1" applyFont="1" applyFill="1" applyBorder="1" applyAlignment="1">
      <alignment horizontal="center" vertical="center" shrinkToFit="1"/>
    </xf>
    <xf numFmtId="0" fontId="57" fillId="4" borderId="6" xfId="0" applyFont="1" applyFill="1" applyBorder="1" applyAlignment="1">
      <alignment horizontal="center" vertical="center" shrinkToFit="1"/>
    </xf>
    <xf numFmtId="0" fontId="23" fillId="4" borderId="0" xfId="0" applyFont="1" applyFill="1" applyAlignment="1">
      <alignment horizontal="center" vertical="center" shrinkToFit="1"/>
    </xf>
    <xf numFmtId="0" fontId="23" fillId="4" borderId="6" xfId="0" applyFont="1" applyFill="1" applyBorder="1" applyAlignment="1">
      <alignment horizontal="center" vertical="center" shrinkToFit="1"/>
    </xf>
    <xf numFmtId="0" fontId="17" fillId="4" borderId="0" xfId="0" applyFont="1" applyFill="1" applyAlignment="1">
      <alignment horizontal="center" vertical="center" shrinkToFit="1"/>
    </xf>
    <xf numFmtId="0" fontId="56" fillId="4" borderId="2" xfId="0" applyFont="1" applyFill="1" applyBorder="1" applyAlignment="1">
      <alignment horizontal="center" vertical="center" shrinkToFit="1"/>
    </xf>
    <xf numFmtId="0" fontId="39" fillId="4" borderId="6" xfId="0" applyFont="1" applyFill="1" applyBorder="1" applyAlignment="1">
      <alignment horizontal="center" vertical="center" shrinkToFit="1"/>
    </xf>
    <xf numFmtId="0" fontId="57" fillId="4" borderId="0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vertical="center" shrinkToFit="1"/>
    </xf>
    <xf numFmtId="1" fontId="39" fillId="4" borderId="8" xfId="0" applyNumberFormat="1" applyFont="1" applyFill="1" applyBorder="1" applyAlignment="1">
      <alignment horizontal="center" vertical="center" shrinkToFit="1"/>
    </xf>
    <xf numFmtId="180" fontId="39" fillId="4" borderId="2" xfId="1" applyNumberFormat="1" applyFont="1" applyFill="1" applyBorder="1" applyAlignment="1">
      <alignment horizontal="center" vertical="center" shrinkToFit="1"/>
    </xf>
    <xf numFmtId="0" fontId="59" fillId="4" borderId="0" xfId="0" applyFont="1" applyFill="1" applyAlignment="1">
      <alignment horizontal="center" vertical="center" shrinkToFit="1"/>
    </xf>
    <xf numFmtId="0" fontId="23" fillId="4" borderId="0" xfId="0" applyFont="1" applyFill="1" applyAlignment="1">
      <alignment horizontal="center" vertical="center" shrinkToFit="1"/>
    </xf>
    <xf numFmtId="0" fontId="14" fillId="4" borderId="47" xfId="0" applyFont="1" applyFill="1" applyBorder="1" applyAlignment="1">
      <alignment horizontal="right" vertical="center" shrinkToFit="1"/>
    </xf>
    <xf numFmtId="0" fontId="28" fillId="4" borderId="47" xfId="0" applyFont="1" applyFill="1" applyBorder="1" applyAlignment="1">
      <alignment horizontal="center" vertical="center" shrinkToFit="1"/>
    </xf>
    <xf numFmtId="0" fontId="23" fillId="4" borderId="47" xfId="0" applyFont="1" applyFill="1" applyBorder="1" applyAlignment="1">
      <alignment horizontal="center" vertical="center" shrinkToFit="1"/>
    </xf>
    <xf numFmtId="0" fontId="17" fillId="4" borderId="30" xfId="0" applyFont="1" applyFill="1" applyBorder="1" applyAlignment="1">
      <alignment horizontal="center" vertical="center" textRotation="255" shrinkToFit="1"/>
    </xf>
    <xf numFmtId="0" fontId="17" fillId="4" borderId="2" xfId="0" applyFont="1" applyFill="1" applyBorder="1" applyAlignment="1">
      <alignment horizontal="center" vertical="center" textRotation="255"/>
    </xf>
    <xf numFmtId="0" fontId="17" fillId="4" borderId="6" xfId="0" applyFont="1" applyFill="1" applyBorder="1" applyAlignment="1">
      <alignment horizontal="center" vertical="center" textRotation="255"/>
    </xf>
    <xf numFmtId="0" fontId="17" fillId="4" borderId="8" xfId="0" applyFont="1" applyFill="1" applyBorder="1" applyAlignment="1">
      <alignment horizontal="center" vertical="center" textRotation="255"/>
    </xf>
    <xf numFmtId="178" fontId="17" fillId="4" borderId="2" xfId="0" applyNumberFormat="1" applyFont="1" applyFill="1" applyBorder="1" applyAlignment="1">
      <alignment horizontal="center" vertical="center" shrinkToFit="1"/>
    </xf>
    <xf numFmtId="178" fontId="17" fillId="4" borderId="6" xfId="0" applyNumberFormat="1" applyFont="1" applyFill="1" applyBorder="1" applyAlignment="1">
      <alignment horizontal="center" vertical="center" shrinkToFit="1"/>
    </xf>
    <xf numFmtId="178" fontId="17" fillId="4" borderId="8" xfId="0" applyNumberFormat="1" applyFont="1" applyFill="1" applyBorder="1" applyAlignment="1">
      <alignment horizontal="center" vertical="center" shrinkToFit="1"/>
    </xf>
    <xf numFmtId="0" fontId="18" fillId="4" borderId="30" xfId="0" applyFont="1" applyFill="1" applyBorder="1" applyAlignment="1">
      <alignment horizontal="center" vertical="center" textRotation="255" wrapText="1" shrinkToFit="1"/>
    </xf>
    <xf numFmtId="0" fontId="23" fillId="4" borderId="2" xfId="0" applyFont="1" applyFill="1" applyBorder="1" applyAlignment="1">
      <alignment horizontal="center" vertical="center" textRotation="255" shrinkToFit="1"/>
    </xf>
    <xf numFmtId="0" fontId="23" fillId="4" borderId="6" xfId="0" applyFont="1" applyFill="1" applyBorder="1" applyAlignment="1">
      <alignment horizontal="center" vertical="center" textRotation="255" shrinkToFit="1"/>
    </xf>
    <xf numFmtId="0" fontId="23" fillId="4" borderId="8" xfId="0" applyFont="1" applyFill="1" applyBorder="1" applyAlignment="1">
      <alignment horizontal="center" vertical="center" textRotation="255" shrinkToFit="1"/>
    </xf>
    <xf numFmtId="0" fontId="10" fillId="4" borderId="2" xfId="0" applyFont="1" applyFill="1" applyBorder="1" applyAlignment="1">
      <alignment horizontal="center" vertical="center" textRotation="255" shrinkToFit="1"/>
    </xf>
    <xf numFmtId="0" fontId="10" fillId="4" borderId="6" xfId="0" applyFont="1" applyFill="1" applyBorder="1" applyAlignment="1">
      <alignment horizontal="center" vertical="center" textRotation="255" shrinkToFit="1"/>
    </xf>
    <xf numFmtId="0" fontId="10" fillId="4" borderId="8" xfId="0" applyFont="1" applyFill="1" applyBorder="1" applyAlignment="1">
      <alignment horizontal="center" vertical="center" textRotation="255" shrinkToFit="1"/>
    </xf>
    <xf numFmtId="0" fontId="23" fillId="4" borderId="35" xfId="0" applyFont="1" applyFill="1" applyBorder="1" applyAlignment="1">
      <alignment horizontal="center" vertical="center" shrinkToFit="1"/>
    </xf>
    <xf numFmtId="0" fontId="23" fillId="4" borderId="48" xfId="0" applyFont="1" applyFill="1" applyBorder="1" applyAlignment="1">
      <alignment horizontal="center" vertical="center" shrinkToFit="1"/>
    </xf>
    <xf numFmtId="0" fontId="23" fillId="4" borderId="36" xfId="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30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textRotation="255" shrinkToFit="1"/>
    </xf>
    <xf numFmtId="0" fontId="17" fillId="4" borderId="35" xfId="0" applyFont="1" applyFill="1" applyBorder="1" applyAlignment="1">
      <alignment horizontal="center" vertical="center" shrinkToFit="1"/>
    </xf>
    <xf numFmtId="0" fontId="17" fillId="4" borderId="48" xfId="0" applyFont="1" applyFill="1" applyBorder="1" applyAlignment="1">
      <alignment horizontal="center" vertical="center" shrinkToFit="1"/>
    </xf>
    <xf numFmtId="0" fontId="17" fillId="4" borderId="36" xfId="0" applyFont="1" applyFill="1" applyBorder="1" applyAlignment="1">
      <alignment horizontal="center" vertical="center" shrinkToFit="1"/>
    </xf>
    <xf numFmtId="0" fontId="55" fillId="4" borderId="2" xfId="0" applyFont="1" applyFill="1" applyBorder="1" applyAlignment="1">
      <alignment horizontal="center" vertical="center" textRotation="255"/>
    </xf>
    <xf numFmtId="0" fontId="55" fillId="4" borderId="6" xfId="0" applyFont="1" applyFill="1" applyBorder="1" applyAlignment="1">
      <alignment horizontal="center" vertical="center" textRotation="255"/>
    </xf>
    <xf numFmtId="0" fontId="55" fillId="4" borderId="8" xfId="0" applyFont="1" applyFill="1" applyBorder="1" applyAlignment="1">
      <alignment horizontal="center" vertical="center" textRotation="255"/>
    </xf>
    <xf numFmtId="0" fontId="10" fillId="4" borderId="2" xfId="0" applyFont="1" applyFill="1" applyBorder="1" applyAlignment="1">
      <alignment horizontal="center" vertical="center" shrinkToFit="1"/>
    </xf>
    <xf numFmtId="0" fontId="23" fillId="4" borderId="6" xfId="0" applyFont="1" applyFill="1" applyBorder="1" applyAlignment="1">
      <alignment horizontal="center" vertical="center" shrinkToFit="1"/>
    </xf>
    <xf numFmtId="0" fontId="23" fillId="4" borderId="8" xfId="0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/>
    </xf>
    <xf numFmtId="0" fontId="30" fillId="4" borderId="48" xfId="0" applyFont="1" applyFill="1" applyBorder="1" applyAlignment="1">
      <alignment horizontal="center"/>
    </xf>
    <xf numFmtId="0" fontId="30" fillId="4" borderId="36" xfId="0" applyFont="1" applyFill="1" applyBorder="1" applyAlignment="1">
      <alignment horizontal="center"/>
    </xf>
    <xf numFmtId="0" fontId="43" fillId="4" borderId="35" xfId="0" applyFont="1" applyFill="1" applyBorder="1" applyAlignment="1">
      <alignment horizontal="center" vertical="center" shrinkToFit="1"/>
    </xf>
    <xf numFmtId="0" fontId="43" fillId="4" borderId="48" xfId="0" applyFont="1" applyFill="1" applyBorder="1" applyAlignment="1">
      <alignment horizontal="center" vertical="center" shrinkToFit="1"/>
    </xf>
    <xf numFmtId="0" fontId="43" fillId="4" borderId="36" xfId="0" applyFont="1" applyFill="1" applyBorder="1" applyAlignment="1">
      <alignment horizontal="center" vertical="center" shrinkToFit="1"/>
    </xf>
    <xf numFmtId="177" fontId="9" fillId="4" borderId="2" xfId="0" applyNumberFormat="1" applyFont="1" applyFill="1" applyBorder="1" applyAlignment="1">
      <alignment horizontal="center" vertical="center" textRotation="255"/>
    </xf>
    <xf numFmtId="177" fontId="9" fillId="4" borderId="6" xfId="0" applyNumberFormat="1" applyFont="1" applyFill="1" applyBorder="1" applyAlignment="1">
      <alignment horizontal="center" vertical="center" textRotation="255"/>
    </xf>
    <xf numFmtId="177" fontId="9" fillId="4" borderId="8" xfId="0" applyNumberFormat="1" applyFont="1" applyFill="1" applyBorder="1" applyAlignment="1">
      <alignment horizontal="center" vertical="center" textRotation="255"/>
    </xf>
    <xf numFmtId="0" fontId="9" fillId="4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textRotation="255"/>
    </xf>
    <xf numFmtId="0" fontId="9" fillId="4" borderId="6" xfId="0" applyFont="1" applyFill="1" applyBorder="1" applyAlignment="1">
      <alignment horizontal="center" vertical="center" textRotation="255"/>
    </xf>
    <xf numFmtId="0" fontId="9" fillId="4" borderId="8" xfId="0" applyFont="1" applyFill="1" applyBorder="1" applyAlignment="1">
      <alignment horizontal="center" vertical="center" textRotation="255"/>
    </xf>
    <xf numFmtId="0" fontId="0" fillId="4" borderId="6" xfId="0" applyFont="1" applyFill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center" vertical="center" shrinkToFit="1"/>
    </xf>
    <xf numFmtId="0" fontId="9" fillId="4" borderId="2" xfId="1" applyFont="1" applyFill="1" applyBorder="1" applyAlignment="1">
      <alignment horizontal="center" vertical="center" textRotation="255"/>
    </xf>
    <xf numFmtId="0" fontId="9" fillId="4" borderId="6" xfId="1" applyFont="1" applyFill="1" applyBorder="1" applyAlignment="1">
      <alignment horizontal="center" vertical="center" textRotation="255"/>
    </xf>
    <xf numFmtId="0" fontId="9" fillId="4" borderId="8" xfId="1" applyFont="1" applyFill="1" applyBorder="1" applyAlignment="1">
      <alignment horizontal="center" vertical="center" textRotation="255"/>
    </xf>
    <xf numFmtId="0" fontId="30" fillId="4" borderId="35" xfId="0" applyFont="1" applyFill="1" applyBorder="1" applyAlignment="1">
      <alignment horizontal="center" vertical="center" shrinkToFit="1"/>
    </xf>
    <xf numFmtId="0" fontId="30" fillId="4" borderId="48" xfId="0" applyFont="1" applyFill="1" applyBorder="1" applyAlignment="1">
      <alignment horizontal="center" vertical="center" shrinkToFit="1"/>
    </xf>
    <xf numFmtId="0" fontId="30" fillId="4" borderId="36" xfId="0" applyFont="1" applyFill="1" applyBorder="1" applyAlignment="1">
      <alignment horizontal="center" vertical="center" shrinkToFit="1"/>
    </xf>
    <xf numFmtId="0" fontId="16" fillId="4" borderId="35" xfId="0" applyFont="1" applyFill="1" applyBorder="1" applyAlignment="1">
      <alignment horizontal="center" vertical="center" shrinkToFit="1"/>
    </xf>
    <xf numFmtId="0" fontId="43" fillId="4" borderId="46" xfId="0" applyFont="1" applyFill="1" applyBorder="1" applyAlignment="1">
      <alignment horizontal="center" vertical="center" shrinkToFit="1"/>
    </xf>
    <xf numFmtId="0" fontId="31" fillId="4" borderId="43" xfId="0" applyFont="1" applyFill="1" applyBorder="1" applyAlignment="1">
      <alignment horizontal="center" vertical="center" shrinkToFit="1"/>
    </xf>
    <xf numFmtId="0" fontId="31" fillId="4" borderId="46" xfId="0" applyFont="1" applyFill="1" applyBorder="1" applyAlignment="1">
      <alignment horizontal="center" vertical="center" shrinkToFit="1"/>
    </xf>
    <xf numFmtId="0" fontId="31" fillId="4" borderId="40" xfId="0" applyFont="1" applyFill="1" applyBorder="1" applyAlignment="1">
      <alignment horizontal="center" vertical="center" shrinkToFit="1"/>
    </xf>
    <xf numFmtId="0" fontId="31" fillId="4" borderId="44" xfId="0" applyFont="1" applyFill="1" applyBorder="1" applyAlignment="1">
      <alignment horizontal="center" vertical="center" shrinkToFit="1"/>
    </xf>
    <xf numFmtId="0" fontId="31" fillId="4" borderId="0" xfId="0" applyFont="1" applyFill="1" applyBorder="1" applyAlignment="1">
      <alignment horizontal="center" vertical="center" shrinkToFit="1"/>
    </xf>
    <xf numFmtId="0" fontId="31" fillId="4" borderId="41" xfId="0" applyFont="1" applyFill="1" applyBorder="1" applyAlignment="1">
      <alignment horizontal="center" vertical="center" shrinkToFit="1"/>
    </xf>
    <xf numFmtId="0" fontId="31" fillId="4" borderId="45" xfId="0" applyFont="1" applyFill="1" applyBorder="1" applyAlignment="1">
      <alignment horizontal="center" vertical="center" shrinkToFit="1"/>
    </xf>
    <xf numFmtId="0" fontId="31" fillId="4" borderId="47" xfId="0" applyFont="1" applyFill="1" applyBorder="1" applyAlignment="1">
      <alignment horizontal="center" vertical="center" shrinkToFit="1"/>
    </xf>
    <xf numFmtId="0" fontId="31" fillId="4" borderId="42" xfId="0" applyFont="1" applyFill="1" applyBorder="1" applyAlignment="1">
      <alignment horizontal="center" vertical="center" shrinkToFit="1"/>
    </xf>
    <xf numFmtId="0" fontId="32" fillId="4" borderId="43" xfId="0" applyFont="1" applyFill="1" applyBorder="1" applyAlignment="1">
      <alignment horizontal="center" vertical="center" shrinkToFit="1"/>
    </xf>
    <xf numFmtId="0" fontId="17" fillId="4" borderId="46" xfId="0" applyFont="1" applyFill="1" applyBorder="1" applyAlignment="1">
      <alignment horizontal="center" vertical="center" shrinkToFit="1"/>
    </xf>
    <xf numFmtId="0" fontId="17" fillId="4" borderId="40" xfId="0" applyFont="1" applyFill="1" applyBorder="1" applyAlignment="1">
      <alignment horizontal="center" vertical="center" shrinkToFit="1"/>
    </xf>
    <xf numFmtId="0" fontId="17" fillId="4" borderId="44" xfId="0" applyFont="1" applyFill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center" vertical="center" shrinkToFit="1"/>
    </xf>
    <xf numFmtId="0" fontId="17" fillId="4" borderId="41" xfId="0" applyFont="1" applyFill="1" applyBorder="1" applyAlignment="1">
      <alignment horizontal="center" vertical="center" shrinkToFit="1"/>
    </xf>
    <xf numFmtId="0" fontId="17" fillId="4" borderId="45" xfId="0" applyFont="1" applyFill="1" applyBorder="1" applyAlignment="1">
      <alignment horizontal="center" vertical="center" shrinkToFit="1"/>
    </xf>
    <xf numFmtId="0" fontId="17" fillId="4" borderId="47" xfId="0" applyFont="1" applyFill="1" applyBorder="1" applyAlignment="1">
      <alignment horizontal="center" vertical="center" shrinkToFit="1"/>
    </xf>
    <xf numFmtId="0" fontId="17" fillId="4" borderId="42" xfId="0" applyFont="1" applyFill="1" applyBorder="1" applyAlignment="1">
      <alignment horizontal="center" vertical="center" shrinkToFit="1"/>
    </xf>
    <xf numFmtId="0" fontId="37" fillId="4" borderId="46" xfId="0" applyFont="1" applyFill="1" applyBorder="1" applyAlignment="1">
      <alignment horizontal="center" vertical="center" shrinkToFit="1"/>
    </xf>
    <xf numFmtId="0" fontId="33" fillId="4" borderId="0" xfId="0" applyFont="1" applyFill="1" applyAlignment="1">
      <alignment horizontal="center" vertical="center" shrinkToFit="1"/>
    </xf>
    <xf numFmtId="0" fontId="35" fillId="4" borderId="0" xfId="0" applyFont="1" applyFill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57" fillId="4" borderId="2" xfId="0" applyFont="1" applyFill="1" applyBorder="1" applyAlignment="1">
      <alignment horizontal="center" vertical="center" shrinkToFit="1"/>
    </xf>
    <xf numFmtId="0" fontId="58" fillId="4" borderId="6" xfId="0" applyFont="1" applyFill="1" applyBorder="1" applyAlignment="1">
      <alignment horizontal="center" vertical="center" shrinkToFit="1"/>
    </xf>
    <xf numFmtId="0" fontId="58" fillId="4" borderId="8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textRotation="255" shrinkToFit="1"/>
    </xf>
    <xf numFmtId="0" fontId="9" fillId="4" borderId="6" xfId="0" applyFont="1" applyFill="1" applyBorder="1" applyAlignment="1">
      <alignment horizontal="center" vertical="center" textRotation="255" shrinkToFit="1"/>
    </xf>
    <xf numFmtId="0" fontId="9" fillId="4" borderId="8" xfId="0" applyFont="1" applyFill="1" applyBorder="1" applyAlignment="1">
      <alignment horizontal="center" vertical="center" textRotation="255" shrinkToFit="1"/>
    </xf>
    <xf numFmtId="0" fontId="17" fillId="4" borderId="6" xfId="0" applyFont="1" applyFill="1" applyBorder="1" applyAlignment="1">
      <alignment horizontal="center" vertical="center" textRotation="255" shrinkToFit="1"/>
    </xf>
    <xf numFmtId="0" fontId="17" fillId="4" borderId="8" xfId="0" applyFont="1" applyFill="1" applyBorder="1" applyAlignment="1">
      <alignment horizontal="center" vertical="center" textRotation="255" shrinkToFit="1"/>
    </xf>
    <xf numFmtId="0" fontId="17" fillId="4" borderId="0" xfId="0" applyFont="1" applyFill="1" applyAlignment="1">
      <alignment horizontal="center" vertical="center" shrinkToFit="1"/>
    </xf>
    <xf numFmtId="0" fontId="37" fillId="4" borderId="47" xfId="0" applyFont="1" applyFill="1" applyBorder="1" applyAlignment="1">
      <alignment horizontal="center" vertical="center" shrinkToFit="1"/>
    </xf>
    <xf numFmtId="0" fontId="16" fillId="4" borderId="48" xfId="0" applyFont="1" applyFill="1" applyBorder="1" applyAlignment="1">
      <alignment horizontal="center" vertical="center" shrinkToFit="1"/>
    </xf>
    <xf numFmtId="0" fontId="16" fillId="4" borderId="46" xfId="0" applyFont="1" applyFill="1" applyBorder="1" applyAlignment="1">
      <alignment horizontal="center" vertical="center" shrinkToFit="1"/>
    </xf>
    <xf numFmtId="0" fontId="16" fillId="4" borderId="36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wrapText="1" shrinkToFit="1"/>
    </xf>
    <xf numFmtId="0" fontId="9" fillId="4" borderId="2" xfId="1" applyFont="1" applyFill="1" applyBorder="1" applyAlignment="1">
      <alignment horizontal="center" vertical="center" shrinkToFit="1"/>
    </xf>
    <xf numFmtId="0" fontId="17" fillId="4" borderId="6" xfId="1" applyFont="1" applyFill="1" applyBorder="1" applyAlignment="1">
      <alignment horizontal="center" vertical="center" shrinkToFit="1"/>
    </xf>
    <xf numFmtId="0" fontId="17" fillId="4" borderId="8" xfId="1" applyFont="1" applyFill="1" applyBorder="1" applyAlignment="1">
      <alignment horizontal="center" vertical="center" shrinkToFit="1"/>
    </xf>
    <xf numFmtId="0" fontId="42" fillId="4" borderId="30" xfId="0" applyFont="1" applyFill="1" applyBorder="1" applyAlignment="1">
      <alignment horizontal="center" vertical="center" textRotation="255" wrapText="1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56" fillId="4" borderId="2" xfId="0" applyFont="1" applyFill="1" applyBorder="1" applyAlignment="1">
      <alignment horizontal="center" vertical="center" shrinkToFit="1"/>
    </xf>
    <xf numFmtId="0" fontId="39" fillId="4" borderId="6" xfId="0" applyFont="1" applyFill="1" applyBorder="1" applyAlignment="1">
      <alignment horizontal="center" vertical="center" shrinkToFit="1"/>
    </xf>
    <xf numFmtId="0" fontId="39" fillId="4" borderId="8" xfId="0" applyFont="1" applyFill="1" applyBorder="1" applyAlignment="1">
      <alignment horizontal="center" vertical="center" shrinkToFit="1"/>
    </xf>
    <xf numFmtId="0" fontId="9" fillId="4" borderId="2" xfId="3" applyFont="1" applyFill="1" applyBorder="1" applyAlignment="1">
      <alignment horizontal="center" vertical="center" shrinkToFit="1"/>
    </xf>
    <xf numFmtId="0" fontId="17" fillId="4" borderId="6" xfId="3" applyFont="1" applyFill="1" applyBorder="1" applyAlignment="1">
      <alignment horizontal="center" vertical="center" shrinkToFit="1"/>
    </xf>
    <xf numFmtId="0" fontId="17" fillId="4" borderId="8" xfId="3" applyFont="1" applyFill="1" applyBorder="1" applyAlignment="1">
      <alignment horizontal="center" vertical="center" shrinkToFit="1"/>
    </xf>
    <xf numFmtId="0" fontId="57" fillId="4" borderId="6" xfId="0" applyFont="1" applyFill="1" applyBorder="1" applyAlignment="1">
      <alignment horizontal="center" vertical="center" shrinkToFit="1"/>
    </xf>
    <xf numFmtId="0" fontId="57" fillId="4" borderId="8" xfId="0" applyFont="1" applyFill="1" applyBorder="1" applyAlignment="1">
      <alignment horizontal="center" vertical="center" shrinkToFit="1"/>
    </xf>
    <xf numFmtId="1" fontId="39" fillId="5" borderId="6" xfId="1" applyNumberFormat="1" applyFont="1" applyFill="1" applyBorder="1" applyAlignment="1">
      <alignment horizontal="center" vertical="center" shrinkToFit="1"/>
    </xf>
    <xf numFmtId="1" fontId="56" fillId="5" borderId="8" xfId="1" applyNumberFormat="1" applyFont="1" applyFill="1" applyBorder="1" applyAlignment="1">
      <alignment horizontal="center" vertical="center" shrinkToFit="1"/>
    </xf>
  </cellXfs>
  <cellStyles count="4">
    <cellStyle name="一般" xfId="0" builtinId="0"/>
    <cellStyle name="一般 2" xfId="2" xr:uid="{00000000-0005-0000-0000-000001000000}"/>
    <cellStyle name="一般 2 2" xfId="1" xr:uid="{00000000-0005-0000-0000-000002000000}"/>
    <cellStyle name="一般 2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77</xdr:row>
      <xdr:rowOff>38100</xdr:rowOff>
    </xdr:from>
    <xdr:to>
      <xdr:col>6</xdr:col>
      <xdr:colOff>164465</xdr:colOff>
      <xdr:row>78</xdr:row>
      <xdr:rowOff>5080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08" t="59450" r="10875" b="35911"/>
        <a:stretch/>
      </xdr:blipFill>
      <xdr:spPr bwMode="auto">
        <a:xfrm>
          <a:off x="2124075" y="12611100"/>
          <a:ext cx="659765" cy="21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77</xdr:row>
      <xdr:rowOff>28575</xdr:rowOff>
    </xdr:from>
    <xdr:to>
      <xdr:col>6</xdr:col>
      <xdr:colOff>164465</xdr:colOff>
      <xdr:row>77</xdr:row>
      <xdr:rowOff>243205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08" t="59450" r="10875" b="35911"/>
        <a:stretch/>
      </xdr:blipFill>
      <xdr:spPr bwMode="auto">
        <a:xfrm>
          <a:off x="2124075" y="12601575"/>
          <a:ext cx="659765" cy="21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78</xdr:row>
      <xdr:rowOff>19050</xdr:rowOff>
    </xdr:from>
    <xdr:to>
      <xdr:col>6</xdr:col>
      <xdr:colOff>164465</xdr:colOff>
      <xdr:row>78</xdr:row>
      <xdr:rowOff>233680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08" t="59450" r="10875" b="35911"/>
        <a:stretch/>
      </xdr:blipFill>
      <xdr:spPr bwMode="auto">
        <a:xfrm>
          <a:off x="2124075" y="12753975"/>
          <a:ext cx="659765" cy="21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77</xdr:row>
      <xdr:rowOff>28575</xdr:rowOff>
    </xdr:from>
    <xdr:to>
      <xdr:col>6</xdr:col>
      <xdr:colOff>164465</xdr:colOff>
      <xdr:row>77</xdr:row>
      <xdr:rowOff>243205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08" t="59450" r="10875" b="35911"/>
        <a:stretch/>
      </xdr:blipFill>
      <xdr:spPr bwMode="auto">
        <a:xfrm>
          <a:off x="2124075" y="12601575"/>
          <a:ext cx="659765" cy="21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77</xdr:row>
      <xdr:rowOff>28575</xdr:rowOff>
    </xdr:from>
    <xdr:to>
      <xdr:col>6</xdr:col>
      <xdr:colOff>164465</xdr:colOff>
      <xdr:row>77</xdr:row>
      <xdr:rowOff>243205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08" t="59450" r="10875" b="35911"/>
        <a:stretch/>
      </xdr:blipFill>
      <xdr:spPr bwMode="auto">
        <a:xfrm>
          <a:off x="2124075" y="12601575"/>
          <a:ext cx="659765" cy="21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AH79"/>
  <sheetViews>
    <sheetView workbookViewId="0">
      <selection activeCell="AB27" sqref="AB27"/>
    </sheetView>
  </sheetViews>
  <sheetFormatPr defaultColWidth="9" defaultRowHeight="16.5"/>
  <cols>
    <col min="1" max="1" width="5.375" style="119" customWidth="1"/>
    <col min="2" max="2" width="3.625" style="92" customWidth="1"/>
    <col min="3" max="4" width="3.625" style="153" customWidth="1"/>
    <col min="5" max="5" width="11.625" style="153" customWidth="1"/>
    <col min="6" max="6" width="6.5" style="153" customWidth="1"/>
    <col min="7" max="7" width="5.625" style="153" customWidth="1"/>
    <col min="8" max="8" width="6.25" style="153" customWidth="1"/>
    <col min="9" max="9" width="3.625" style="153" customWidth="1"/>
    <col min="10" max="10" width="4" style="153" customWidth="1"/>
    <col min="11" max="11" width="3.625" style="153" customWidth="1"/>
    <col min="12" max="12" width="4" style="153" customWidth="1"/>
    <col min="13" max="13" width="3.875" style="153" customWidth="1"/>
    <col min="14" max="14" width="4.5" style="153" customWidth="1"/>
    <col min="15" max="21" width="3.875" style="153" customWidth="1"/>
    <col min="22" max="22" width="4.5" style="153" customWidth="1"/>
    <col min="23" max="25" width="3.875" style="153" customWidth="1"/>
    <col min="26" max="26" width="2.5" style="153" customWidth="1"/>
    <col min="27" max="27" width="12.375" style="52" customWidth="1"/>
    <col min="28" max="28" width="9.125" style="55" bestFit="1" customWidth="1"/>
    <col min="29" max="16384" width="9" style="153"/>
  </cols>
  <sheetData>
    <row r="1" spans="1:28">
      <c r="A1" s="93"/>
      <c r="P1" s="223" t="s">
        <v>76</v>
      </c>
      <c r="Q1" s="223"/>
      <c r="R1" s="223"/>
      <c r="S1" s="223"/>
      <c r="T1" s="223"/>
      <c r="U1" s="223"/>
      <c r="V1" s="223"/>
      <c r="Y1" s="73">
        <v>22</v>
      </c>
      <c r="AA1" s="153"/>
      <c r="AB1" s="153"/>
    </row>
    <row r="2" spans="1:28" ht="15.75" customHeight="1">
      <c r="A2" s="170"/>
      <c r="B2" s="70"/>
      <c r="C2" s="74"/>
      <c r="D2" s="74"/>
      <c r="E2" s="224" t="s">
        <v>362</v>
      </c>
      <c r="F2" s="224"/>
      <c r="G2" s="224"/>
      <c r="H2" s="225" t="s">
        <v>77</v>
      </c>
      <c r="I2" s="225"/>
      <c r="J2" s="225"/>
      <c r="K2" s="225"/>
      <c r="L2" s="225"/>
      <c r="M2" s="225"/>
      <c r="N2" s="225"/>
      <c r="O2" s="225"/>
      <c r="P2" s="225" t="s">
        <v>78</v>
      </c>
      <c r="Q2" s="225"/>
      <c r="R2" s="225"/>
      <c r="S2" s="225"/>
      <c r="T2" s="225"/>
      <c r="U2" s="225"/>
      <c r="V2" s="226" t="s">
        <v>79</v>
      </c>
      <c r="W2" s="226"/>
      <c r="X2" s="226"/>
      <c r="Y2" s="153">
        <v>5</v>
      </c>
      <c r="Z2" s="85"/>
      <c r="AA2" s="153"/>
      <c r="AB2" s="153"/>
    </row>
    <row r="3" spans="1:28" ht="12.95" customHeight="1">
      <c r="A3" s="170"/>
      <c r="B3" s="238" t="s">
        <v>135</v>
      </c>
      <c r="C3" s="235" t="s">
        <v>80</v>
      </c>
      <c r="D3" s="235" t="s">
        <v>81</v>
      </c>
      <c r="E3" s="241" t="s">
        <v>82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41" t="s">
        <v>83</v>
      </c>
      <c r="R3" s="242"/>
      <c r="S3" s="243"/>
      <c r="T3" s="241" t="s">
        <v>84</v>
      </c>
      <c r="U3" s="242"/>
      <c r="V3" s="242"/>
      <c r="W3" s="242"/>
      <c r="X3" s="243"/>
      <c r="Y3" s="235" t="s">
        <v>85</v>
      </c>
      <c r="Z3" s="85"/>
      <c r="AA3" s="153"/>
      <c r="AB3" s="153"/>
    </row>
    <row r="4" spans="1:28" ht="12.95" customHeight="1">
      <c r="A4" s="170"/>
      <c r="B4" s="239"/>
      <c r="C4" s="236"/>
      <c r="D4" s="236"/>
      <c r="E4" s="244" t="s">
        <v>86</v>
      </c>
      <c r="F4" s="246" t="s">
        <v>39</v>
      </c>
      <c r="G4" s="227" t="s">
        <v>47</v>
      </c>
      <c r="H4" s="246" t="s">
        <v>39</v>
      </c>
      <c r="I4" s="227" t="s">
        <v>47</v>
      </c>
      <c r="J4" s="249" t="s">
        <v>41</v>
      </c>
      <c r="K4" s="250"/>
      <c r="L4" s="250"/>
      <c r="M4" s="250"/>
      <c r="N4" s="250"/>
      <c r="O4" s="250"/>
      <c r="P4" s="251"/>
      <c r="Q4" s="235" t="s">
        <v>87</v>
      </c>
      <c r="R4" s="235" t="s">
        <v>88</v>
      </c>
      <c r="S4" s="235" t="s">
        <v>89</v>
      </c>
      <c r="T4" s="235" t="s">
        <v>90</v>
      </c>
      <c r="U4" s="235" t="s">
        <v>91</v>
      </c>
      <c r="V4" s="235" t="s">
        <v>92</v>
      </c>
      <c r="W4" s="235" t="s">
        <v>93</v>
      </c>
      <c r="X4" s="235" t="s">
        <v>94</v>
      </c>
      <c r="Y4" s="236"/>
      <c r="Z4" s="85"/>
      <c r="AA4" s="153"/>
      <c r="AB4" s="153"/>
    </row>
    <row r="5" spans="1:28" ht="12.95" customHeight="1">
      <c r="A5" s="170"/>
      <c r="B5" s="239"/>
      <c r="C5" s="236"/>
      <c r="D5" s="236"/>
      <c r="E5" s="244"/>
      <c r="F5" s="246"/>
      <c r="G5" s="227"/>
      <c r="H5" s="246"/>
      <c r="I5" s="227"/>
      <c r="J5" s="227" t="s">
        <v>95</v>
      </c>
      <c r="K5" s="227" t="s">
        <v>42</v>
      </c>
      <c r="L5" s="227" t="s">
        <v>43</v>
      </c>
      <c r="M5" s="227" t="s">
        <v>44</v>
      </c>
      <c r="N5" s="227" t="s">
        <v>45</v>
      </c>
      <c r="O5" s="234" t="s">
        <v>96</v>
      </c>
      <c r="P5" s="227" t="s">
        <v>46</v>
      </c>
      <c r="Q5" s="236"/>
      <c r="R5" s="236"/>
      <c r="S5" s="236"/>
      <c r="T5" s="236"/>
      <c r="U5" s="236"/>
      <c r="V5" s="236"/>
      <c r="W5" s="236"/>
      <c r="X5" s="236"/>
      <c r="Y5" s="236"/>
      <c r="Z5" s="85"/>
      <c r="AA5" s="153"/>
      <c r="AB5" s="153"/>
    </row>
    <row r="6" spans="1:28" ht="12.95" customHeight="1">
      <c r="A6" s="170"/>
      <c r="B6" s="239"/>
      <c r="C6" s="236"/>
      <c r="D6" s="236"/>
      <c r="E6" s="244"/>
      <c r="F6" s="246"/>
      <c r="G6" s="227"/>
      <c r="H6" s="246"/>
      <c r="I6" s="227"/>
      <c r="J6" s="227"/>
      <c r="K6" s="227"/>
      <c r="L6" s="227"/>
      <c r="M6" s="227"/>
      <c r="N6" s="227"/>
      <c r="O6" s="234"/>
      <c r="P6" s="227"/>
      <c r="Q6" s="236"/>
      <c r="R6" s="236"/>
      <c r="S6" s="236"/>
      <c r="T6" s="237"/>
      <c r="U6" s="237"/>
      <c r="V6" s="237"/>
      <c r="W6" s="237"/>
      <c r="X6" s="237"/>
      <c r="Y6" s="236"/>
      <c r="Z6" s="85"/>
      <c r="AA6" s="153"/>
      <c r="AB6" s="153"/>
    </row>
    <row r="7" spans="1:28" ht="12.95" customHeight="1">
      <c r="A7" s="170"/>
      <c r="B7" s="240"/>
      <c r="C7" s="237"/>
      <c r="D7" s="237"/>
      <c r="E7" s="245"/>
      <c r="F7" s="247"/>
      <c r="G7" s="227"/>
      <c r="H7" s="246"/>
      <c r="I7" s="248"/>
      <c r="J7" s="227"/>
      <c r="K7" s="227"/>
      <c r="L7" s="227"/>
      <c r="M7" s="227"/>
      <c r="N7" s="227"/>
      <c r="O7" s="234"/>
      <c r="P7" s="227"/>
      <c r="Q7" s="237"/>
      <c r="R7" s="237"/>
      <c r="S7" s="237"/>
      <c r="T7" s="106">
        <v>5</v>
      </c>
      <c r="U7" s="106">
        <v>4</v>
      </c>
      <c r="V7" s="106">
        <v>3</v>
      </c>
      <c r="W7" s="106">
        <v>2</v>
      </c>
      <c r="X7" s="106">
        <v>1</v>
      </c>
      <c r="Y7" s="237"/>
      <c r="Z7" s="85"/>
      <c r="AA7" s="153"/>
      <c r="AB7" s="153"/>
    </row>
    <row r="8" spans="1:28" ht="12.95" customHeight="1">
      <c r="A8" s="153">
        <v>269</v>
      </c>
      <c r="B8" s="264">
        <v>43801</v>
      </c>
      <c r="C8" s="228" t="s">
        <v>97</v>
      </c>
      <c r="D8" s="228" t="s">
        <v>98</v>
      </c>
      <c r="E8" s="267" t="s">
        <v>254</v>
      </c>
      <c r="F8" s="53" t="s">
        <v>99</v>
      </c>
      <c r="G8" s="53">
        <v>18</v>
      </c>
      <c r="H8" s="53" t="s">
        <v>54</v>
      </c>
      <c r="I8" s="53">
        <v>0.2</v>
      </c>
      <c r="J8" s="231">
        <v>5</v>
      </c>
      <c r="K8" s="231">
        <v>2.2999999999999998</v>
      </c>
      <c r="L8" s="231">
        <v>1</v>
      </c>
      <c r="M8" s="231">
        <v>2.1</v>
      </c>
      <c r="N8" s="231">
        <v>0</v>
      </c>
      <c r="O8" s="231">
        <v>2.5</v>
      </c>
      <c r="P8" s="231">
        <f>SUM(J8*70+K8*75+L8*120+M8*25+N8*60+O8*45)</f>
        <v>807.5</v>
      </c>
      <c r="Q8" s="228"/>
      <c r="R8" s="228"/>
      <c r="S8" s="228"/>
      <c r="T8" s="228"/>
      <c r="U8" s="228"/>
      <c r="V8" s="228"/>
      <c r="W8" s="228"/>
      <c r="X8" s="228"/>
      <c r="Y8" s="252" t="s">
        <v>423</v>
      </c>
      <c r="Z8" s="85"/>
      <c r="AA8" s="153"/>
      <c r="AB8" s="153"/>
    </row>
    <row r="9" spans="1:28" ht="12.95" customHeight="1">
      <c r="B9" s="265"/>
      <c r="C9" s="229"/>
      <c r="D9" s="229"/>
      <c r="E9" s="244"/>
      <c r="F9" s="156" t="s">
        <v>363</v>
      </c>
      <c r="G9" s="56">
        <v>2.7</v>
      </c>
      <c r="H9" s="48" t="s">
        <v>100</v>
      </c>
      <c r="I9" s="48" t="s">
        <v>101</v>
      </c>
      <c r="J9" s="232"/>
      <c r="K9" s="232"/>
      <c r="L9" s="232"/>
      <c r="M9" s="232"/>
      <c r="N9" s="232"/>
      <c r="O9" s="232"/>
      <c r="P9" s="232"/>
      <c r="Q9" s="229"/>
      <c r="R9" s="229"/>
      <c r="S9" s="229"/>
      <c r="T9" s="229"/>
      <c r="U9" s="229"/>
      <c r="V9" s="229"/>
      <c r="W9" s="229"/>
      <c r="X9" s="229"/>
      <c r="Y9" s="253"/>
      <c r="Z9" s="85"/>
      <c r="AA9" s="153"/>
      <c r="AB9" s="153"/>
    </row>
    <row r="10" spans="1:28" ht="12.95" customHeight="1">
      <c r="B10" s="265"/>
      <c r="C10" s="229"/>
      <c r="D10" s="229"/>
      <c r="E10" s="245"/>
      <c r="F10" s="147" t="s">
        <v>50</v>
      </c>
      <c r="G10" s="54">
        <v>3</v>
      </c>
      <c r="H10" s="54"/>
      <c r="I10" s="54"/>
      <c r="J10" s="232"/>
      <c r="K10" s="232"/>
      <c r="L10" s="232"/>
      <c r="M10" s="232"/>
      <c r="N10" s="232"/>
      <c r="O10" s="232"/>
      <c r="P10" s="232"/>
      <c r="Q10" s="230"/>
      <c r="R10" s="230"/>
      <c r="S10" s="230"/>
      <c r="T10" s="230"/>
      <c r="U10" s="230"/>
      <c r="V10" s="230"/>
      <c r="W10" s="230"/>
      <c r="X10" s="230"/>
      <c r="Y10" s="253"/>
      <c r="Z10" s="85"/>
      <c r="AA10" s="153"/>
      <c r="AB10" s="153"/>
    </row>
    <row r="11" spans="1:28" ht="12.95" customHeight="1">
      <c r="B11" s="265"/>
      <c r="C11" s="229"/>
      <c r="D11" s="229"/>
      <c r="E11" s="255" t="s">
        <v>293</v>
      </c>
      <c r="F11" s="134" t="s">
        <v>294</v>
      </c>
      <c r="G11" s="75">
        <v>24</v>
      </c>
      <c r="H11" s="171"/>
      <c r="I11" s="172"/>
      <c r="J11" s="232"/>
      <c r="K11" s="232"/>
      <c r="L11" s="232"/>
      <c r="M11" s="232"/>
      <c r="N11" s="232"/>
      <c r="O11" s="232"/>
      <c r="P11" s="232"/>
      <c r="Q11" s="228"/>
      <c r="R11" s="228"/>
      <c r="S11" s="228"/>
      <c r="T11" s="228"/>
      <c r="U11" s="228"/>
      <c r="V11" s="228"/>
      <c r="W11" s="228"/>
      <c r="X11" s="228"/>
      <c r="Y11" s="253"/>
      <c r="AA11" s="153"/>
      <c r="AB11" s="153"/>
    </row>
    <row r="12" spans="1:28" ht="12.95" customHeight="1">
      <c r="B12" s="265"/>
      <c r="C12" s="229"/>
      <c r="D12" s="229"/>
      <c r="E12" s="256"/>
      <c r="F12" s="48" t="s">
        <v>102</v>
      </c>
      <c r="G12" s="48">
        <v>0.2</v>
      </c>
      <c r="H12" s="173"/>
      <c r="I12" s="174"/>
      <c r="J12" s="232"/>
      <c r="K12" s="232"/>
      <c r="L12" s="232"/>
      <c r="M12" s="232"/>
      <c r="N12" s="232"/>
      <c r="O12" s="232"/>
      <c r="P12" s="232"/>
      <c r="Q12" s="229"/>
      <c r="R12" s="229"/>
      <c r="S12" s="229"/>
      <c r="T12" s="229"/>
      <c r="U12" s="229"/>
      <c r="V12" s="229"/>
      <c r="W12" s="229"/>
      <c r="X12" s="229"/>
      <c r="Y12" s="253"/>
      <c r="AA12" s="153"/>
      <c r="AB12" s="153"/>
    </row>
    <row r="13" spans="1:28" ht="12.95" customHeight="1">
      <c r="B13" s="265"/>
      <c r="C13" s="229"/>
      <c r="D13" s="229"/>
      <c r="E13" s="257"/>
      <c r="F13" s="147" t="s">
        <v>103</v>
      </c>
      <c r="G13" s="147">
        <v>0.1</v>
      </c>
      <c r="H13" s="175"/>
      <c r="I13" s="176"/>
      <c r="J13" s="232"/>
      <c r="K13" s="232"/>
      <c r="L13" s="232"/>
      <c r="M13" s="232"/>
      <c r="N13" s="232"/>
      <c r="O13" s="232"/>
      <c r="P13" s="232"/>
      <c r="Q13" s="230"/>
      <c r="R13" s="230"/>
      <c r="S13" s="230"/>
      <c r="T13" s="230"/>
      <c r="U13" s="230"/>
      <c r="V13" s="230"/>
      <c r="W13" s="230"/>
      <c r="X13" s="230"/>
      <c r="Y13" s="253"/>
      <c r="AA13" s="153"/>
      <c r="AB13" s="153"/>
    </row>
    <row r="14" spans="1:28" ht="12.95" customHeight="1">
      <c r="B14" s="265"/>
      <c r="C14" s="229"/>
      <c r="D14" s="229"/>
      <c r="E14" s="247" t="s">
        <v>104</v>
      </c>
      <c r="F14" s="145" t="s">
        <v>410</v>
      </c>
      <c r="G14" s="49">
        <v>21.52</v>
      </c>
      <c r="H14" s="117"/>
      <c r="I14" s="117"/>
      <c r="J14" s="232"/>
      <c r="K14" s="232"/>
      <c r="L14" s="232"/>
      <c r="M14" s="232"/>
      <c r="N14" s="232"/>
      <c r="O14" s="232"/>
      <c r="P14" s="232"/>
      <c r="Q14" s="228"/>
      <c r="R14" s="228"/>
      <c r="S14" s="228"/>
      <c r="T14" s="228"/>
      <c r="U14" s="228"/>
      <c r="V14" s="228"/>
      <c r="W14" s="228"/>
      <c r="X14" s="228"/>
      <c r="Y14" s="253"/>
      <c r="AA14" s="153"/>
      <c r="AB14" s="153"/>
    </row>
    <row r="15" spans="1:28" ht="12.95" customHeight="1">
      <c r="B15" s="265"/>
      <c r="C15" s="229"/>
      <c r="D15" s="229"/>
      <c r="E15" s="244"/>
      <c r="F15" s="156" t="s">
        <v>401</v>
      </c>
      <c r="G15" s="146">
        <v>3</v>
      </c>
      <c r="H15" s="146"/>
      <c r="I15" s="146"/>
      <c r="J15" s="232"/>
      <c r="K15" s="232"/>
      <c r="L15" s="232"/>
      <c r="M15" s="232"/>
      <c r="N15" s="232"/>
      <c r="O15" s="232"/>
      <c r="P15" s="232"/>
      <c r="Q15" s="229"/>
      <c r="R15" s="229"/>
      <c r="S15" s="229"/>
      <c r="T15" s="229"/>
      <c r="U15" s="229"/>
      <c r="V15" s="229"/>
      <c r="W15" s="229"/>
      <c r="X15" s="229"/>
      <c r="Y15" s="253"/>
      <c r="AA15" s="153"/>
      <c r="AB15" s="153"/>
    </row>
    <row r="16" spans="1:28" ht="12.95" customHeight="1">
      <c r="B16" s="265"/>
      <c r="C16" s="229"/>
      <c r="D16" s="229"/>
      <c r="E16" s="245"/>
      <c r="F16" s="147"/>
      <c r="G16" s="147"/>
      <c r="H16" s="147"/>
      <c r="I16" s="147"/>
      <c r="J16" s="232"/>
      <c r="K16" s="232"/>
      <c r="L16" s="232"/>
      <c r="M16" s="232"/>
      <c r="N16" s="232"/>
      <c r="O16" s="232"/>
      <c r="P16" s="232"/>
      <c r="Q16" s="230"/>
      <c r="R16" s="230"/>
      <c r="S16" s="230"/>
      <c r="T16" s="230"/>
      <c r="U16" s="230"/>
      <c r="V16" s="230"/>
      <c r="W16" s="230"/>
      <c r="X16" s="230"/>
      <c r="Y16" s="253"/>
      <c r="AA16" s="153"/>
      <c r="AB16" s="153"/>
    </row>
    <row r="17" spans="1:33" ht="12.95" customHeight="1">
      <c r="B17" s="265"/>
      <c r="C17" s="229"/>
      <c r="D17" s="229"/>
      <c r="E17" s="255" t="s">
        <v>255</v>
      </c>
      <c r="F17" s="117" t="s">
        <v>155</v>
      </c>
      <c r="G17" s="145" t="s">
        <v>338</v>
      </c>
      <c r="H17" s="53"/>
      <c r="I17" s="53"/>
      <c r="J17" s="232"/>
      <c r="K17" s="232"/>
      <c r="L17" s="232"/>
      <c r="M17" s="232"/>
      <c r="N17" s="232"/>
      <c r="O17" s="232"/>
      <c r="P17" s="232"/>
      <c r="Q17" s="228"/>
      <c r="R17" s="228"/>
      <c r="S17" s="228"/>
      <c r="T17" s="228"/>
      <c r="U17" s="228"/>
      <c r="V17" s="228"/>
      <c r="W17" s="228"/>
      <c r="X17" s="228"/>
      <c r="Y17" s="253"/>
      <c r="AA17" s="153"/>
      <c r="AB17" s="153"/>
    </row>
    <row r="18" spans="1:33" ht="12.95" customHeight="1">
      <c r="B18" s="265"/>
      <c r="C18" s="229"/>
      <c r="D18" s="229"/>
      <c r="E18" s="256"/>
      <c r="F18" s="146" t="s">
        <v>156</v>
      </c>
      <c r="G18" s="146">
        <v>6</v>
      </c>
      <c r="H18" s="48"/>
      <c r="I18" s="48"/>
      <c r="J18" s="232"/>
      <c r="K18" s="232"/>
      <c r="L18" s="232"/>
      <c r="M18" s="232"/>
      <c r="N18" s="232"/>
      <c r="O18" s="232"/>
      <c r="P18" s="232"/>
      <c r="Q18" s="229"/>
      <c r="R18" s="229"/>
      <c r="S18" s="229"/>
      <c r="T18" s="229"/>
      <c r="U18" s="229"/>
      <c r="V18" s="229"/>
      <c r="W18" s="229"/>
      <c r="X18" s="229"/>
      <c r="Y18" s="253"/>
      <c r="AA18" s="153"/>
      <c r="AB18" s="153"/>
    </row>
    <row r="19" spans="1:33" ht="12.95" customHeight="1">
      <c r="B19" s="266"/>
      <c r="C19" s="230"/>
      <c r="D19" s="229"/>
      <c r="E19" s="257"/>
      <c r="F19" s="194" t="s">
        <v>439</v>
      </c>
      <c r="G19" s="180">
        <v>4.8</v>
      </c>
      <c r="H19" s="54"/>
      <c r="I19" s="54"/>
      <c r="J19" s="233"/>
      <c r="K19" s="233"/>
      <c r="L19" s="233"/>
      <c r="M19" s="233"/>
      <c r="N19" s="233"/>
      <c r="O19" s="233"/>
      <c r="P19" s="233"/>
      <c r="Q19" s="230"/>
      <c r="R19" s="230"/>
      <c r="S19" s="230"/>
      <c r="T19" s="230"/>
      <c r="U19" s="230"/>
      <c r="V19" s="230"/>
      <c r="W19" s="230"/>
      <c r="X19" s="230"/>
      <c r="Y19" s="254"/>
      <c r="AA19" s="153"/>
      <c r="AB19" s="153"/>
    </row>
    <row r="20" spans="1:33" s="68" customFormat="1" ht="12.95" customHeight="1">
      <c r="A20" s="177"/>
      <c r="B20" s="258" t="s">
        <v>37</v>
      </c>
      <c r="C20" s="259"/>
      <c r="D20" s="260"/>
      <c r="E20" s="261" t="s">
        <v>105</v>
      </c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3"/>
      <c r="AA20" s="153"/>
      <c r="AB20" s="153"/>
      <c r="AC20" s="153"/>
      <c r="AD20" s="153"/>
      <c r="AE20" s="153"/>
      <c r="AF20" s="153"/>
      <c r="AG20" s="153"/>
    </row>
    <row r="21" spans="1:33" ht="12.95" customHeight="1">
      <c r="A21" s="189">
        <f>269-17</f>
        <v>252</v>
      </c>
      <c r="B21" s="264">
        <v>43802</v>
      </c>
      <c r="C21" s="228" t="s">
        <v>106</v>
      </c>
      <c r="D21" s="228" t="s">
        <v>367</v>
      </c>
      <c r="E21" s="267" t="s">
        <v>319</v>
      </c>
      <c r="F21" s="135" t="s">
        <v>241</v>
      </c>
      <c r="G21" s="135">
        <v>13</v>
      </c>
      <c r="H21" s="135" t="s">
        <v>242</v>
      </c>
      <c r="I21" s="135">
        <v>1</v>
      </c>
      <c r="J21" s="231">
        <v>5.3</v>
      </c>
      <c r="K21" s="231">
        <v>2.6</v>
      </c>
      <c r="L21" s="231">
        <v>0</v>
      </c>
      <c r="M21" s="231">
        <v>1.4</v>
      </c>
      <c r="N21" s="231">
        <v>0</v>
      </c>
      <c r="O21" s="231">
        <v>2.5</v>
      </c>
      <c r="P21" s="231">
        <f>SUM(J21*70+K21*75+L21*120+M21*25+N21*60+O21*45)</f>
        <v>713.5</v>
      </c>
      <c r="Q21" s="228"/>
      <c r="R21" s="228"/>
      <c r="S21" s="228"/>
      <c r="T21" s="228"/>
      <c r="U21" s="228"/>
      <c r="V21" s="228"/>
      <c r="W21" s="228"/>
      <c r="X21" s="228"/>
      <c r="Y21" s="268" t="s">
        <v>364</v>
      </c>
      <c r="AA21" s="153"/>
      <c r="AB21" s="153"/>
    </row>
    <row r="22" spans="1:33" ht="12.95" customHeight="1">
      <c r="A22" s="190"/>
      <c r="B22" s="265"/>
      <c r="C22" s="229"/>
      <c r="D22" s="229"/>
      <c r="E22" s="244"/>
      <c r="F22" s="149" t="s">
        <v>243</v>
      </c>
      <c r="G22" s="136">
        <v>3</v>
      </c>
      <c r="H22" s="136" t="s">
        <v>244</v>
      </c>
      <c r="I22" s="136" t="s">
        <v>245</v>
      </c>
      <c r="J22" s="232"/>
      <c r="K22" s="232"/>
      <c r="L22" s="232"/>
      <c r="M22" s="232"/>
      <c r="N22" s="232"/>
      <c r="O22" s="232"/>
      <c r="P22" s="232"/>
      <c r="Q22" s="229"/>
      <c r="R22" s="229"/>
      <c r="S22" s="229"/>
      <c r="T22" s="229"/>
      <c r="U22" s="229"/>
      <c r="V22" s="229"/>
      <c r="W22" s="229"/>
      <c r="X22" s="229"/>
      <c r="Y22" s="269"/>
      <c r="AA22" s="153"/>
      <c r="AB22" s="153"/>
    </row>
    <row r="23" spans="1:33" ht="12.95" customHeight="1">
      <c r="A23" s="190"/>
      <c r="B23" s="265"/>
      <c r="C23" s="229"/>
      <c r="D23" s="229"/>
      <c r="E23" s="245"/>
      <c r="F23" s="150" t="s">
        <v>246</v>
      </c>
      <c r="G23" s="137">
        <v>7</v>
      </c>
      <c r="H23" s="137"/>
      <c r="I23" s="137"/>
      <c r="J23" s="232"/>
      <c r="K23" s="232"/>
      <c r="L23" s="232"/>
      <c r="M23" s="232"/>
      <c r="N23" s="232"/>
      <c r="O23" s="232"/>
      <c r="P23" s="232"/>
      <c r="Q23" s="230"/>
      <c r="R23" s="230"/>
      <c r="S23" s="230"/>
      <c r="T23" s="230"/>
      <c r="U23" s="230"/>
      <c r="V23" s="230"/>
      <c r="W23" s="230"/>
      <c r="X23" s="230"/>
      <c r="Y23" s="269"/>
      <c r="AA23" s="153"/>
      <c r="AB23" s="153"/>
    </row>
    <row r="24" spans="1:33" ht="12.95" customHeight="1">
      <c r="A24" s="190"/>
      <c r="B24" s="265"/>
      <c r="C24" s="229"/>
      <c r="D24" s="229"/>
      <c r="E24" s="267" t="s">
        <v>256</v>
      </c>
      <c r="F24" s="146" t="s">
        <v>62</v>
      </c>
      <c r="G24" s="195">
        <v>9</v>
      </c>
      <c r="H24" s="59" t="s">
        <v>63</v>
      </c>
      <c r="I24" s="146">
        <v>0.2</v>
      </c>
      <c r="J24" s="232"/>
      <c r="K24" s="232"/>
      <c r="L24" s="232"/>
      <c r="M24" s="232"/>
      <c r="N24" s="232"/>
      <c r="O24" s="232"/>
      <c r="P24" s="232"/>
      <c r="Q24" s="228"/>
      <c r="R24" s="228"/>
      <c r="S24" s="228"/>
      <c r="T24" s="228"/>
      <c r="U24" s="228"/>
      <c r="V24" s="228"/>
      <c r="W24" s="228"/>
      <c r="X24" s="228"/>
      <c r="Y24" s="269"/>
      <c r="AA24" s="153"/>
      <c r="AB24" s="153"/>
    </row>
    <row r="25" spans="1:33" ht="12.95" customHeight="1">
      <c r="A25" s="190"/>
      <c r="B25" s="265"/>
      <c r="C25" s="229"/>
      <c r="D25" s="229"/>
      <c r="E25" s="244"/>
      <c r="F25" s="146" t="s">
        <v>107</v>
      </c>
      <c r="G25" s="146">
        <v>5</v>
      </c>
      <c r="H25" s="59"/>
      <c r="I25" s="146"/>
      <c r="J25" s="232"/>
      <c r="K25" s="232"/>
      <c r="L25" s="232"/>
      <c r="M25" s="232"/>
      <c r="N25" s="232"/>
      <c r="O25" s="232"/>
      <c r="P25" s="232"/>
      <c r="Q25" s="229"/>
      <c r="R25" s="229"/>
      <c r="S25" s="229"/>
      <c r="T25" s="229"/>
      <c r="U25" s="229"/>
      <c r="V25" s="229"/>
      <c r="W25" s="229"/>
      <c r="X25" s="229"/>
      <c r="Y25" s="269"/>
      <c r="AA25" s="153"/>
      <c r="AB25" s="153"/>
    </row>
    <row r="26" spans="1:33" ht="12.95" customHeight="1">
      <c r="A26" s="190"/>
      <c r="B26" s="265"/>
      <c r="C26" s="229"/>
      <c r="D26" s="229"/>
      <c r="E26" s="245"/>
      <c r="F26" s="146" t="s">
        <v>108</v>
      </c>
      <c r="G26" s="146">
        <v>1</v>
      </c>
      <c r="H26" s="59"/>
      <c r="I26" s="146"/>
      <c r="J26" s="232"/>
      <c r="K26" s="232"/>
      <c r="L26" s="232"/>
      <c r="M26" s="232"/>
      <c r="N26" s="232"/>
      <c r="O26" s="232"/>
      <c r="P26" s="232"/>
      <c r="Q26" s="230"/>
      <c r="R26" s="230"/>
      <c r="S26" s="230"/>
      <c r="T26" s="230"/>
      <c r="U26" s="230"/>
      <c r="V26" s="230"/>
      <c r="W26" s="230"/>
      <c r="X26" s="230"/>
      <c r="Y26" s="269"/>
      <c r="AA26" s="153"/>
      <c r="AB26" s="153"/>
    </row>
    <row r="27" spans="1:33" ht="12.95" customHeight="1">
      <c r="A27" s="190"/>
      <c r="B27" s="265"/>
      <c r="C27" s="229"/>
      <c r="D27" s="229"/>
      <c r="E27" s="247" t="s">
        <v>104</v>
      </c>
      <c r="F27" s="145" t="s">
        <v>410</v>
      </c>
      <c r="G27" s="49">
        <v>20.16</v>
      </c>
      <c r="H27" s="53"/>
      <c r="I27" s="53"/>
      <c r="J27" s="232"/>
      <c r="K27" s="232"/>
      <c r="L27" s="232"/>
      <c r="M27" s="232"/>
      <c r="N27" s="232"/>
      <c r="O27" s="232"/>
      <c r="P27" s="232"/>
      <c r="Q27" s="228"/>
      <c r="R27" s="228"/>
      <c r="S27" s="228"/>
      <c r="T27" s="228"/>
      <c r="U27" s="228"/>
      <c r="V27" s="228"/>
      <c r="W27" s="228"/>
      <c r="X27" s="228"/>
      <c r="Y27" s="269"/>
      <c r="AA27" s="153"/>
      <c r="AB27" s="153"/>
    </row>
    <row r="28" spans="1:33" ht="12.95" customHeight="1">
      <c r="A28" s="190"/>
      <c r="B28" s="265"/>
      <c r="C28" s="229"/>
      <c r="D28" s="229"/>
      <c r="E28" s="244"/>
      <c r="F28" s="156" t="s">
        <v>401</v>
      </c>
      <c r="G28" s="156" t="s">
        <v>411</v>
      </c>
      <c r="H28" s="48"/>
      <c r="I28" s="48"/>
      <c r="J28" s="232"/>
      <c r="K28" s="232"/>
      <c r="L28" s="232"/>
      <c r="M28" s="232"/>
      <c r="N28" s="232"/>
      <c r="O28" s="232"/>
      <c r="P28" s="232"/>
      <c r="Q28" s="229"/>
      <c r="R28" s="229"/>
      <c r="S28" s="229"/>
      <c r="T28" s="229"/>
      <c r="U28" s="229"/>
      <c r="V28" s="229"/>
      <c r="W28" s="229"/>
      <c r="X28" s="229"/>
      <c r="Y28" s="269"/>
      <c r="AA28" s="153"/>
      <c r="AB28" s="153"/>
    </row>
    <row r="29" spans="1:33" ht="12.95" customHeight="1">
      <c r="A29" s="190"/>
      <c r="B29" s="265"/>
      <c r="C29" s="229"/>
      <c r="D29" s="229"/>
      <c r="E29" s="245"/>
      <c r="F29" s="147"/>
      <c r="G29" s="147"/>
      <c r="H29" s="54"/>
      <c r="I29" s="54"/>
      <c r="J29" s="232"/>
      <c r="K29" s="232"/>
      <c r="L29" s="232"/>
      <c r="M29" s="232"/>
      <c r="N29" s="232"/>
      <c r="O29" s="232"/>
      <c r="P29" s="232"/>
      <c r="Q29" s="230"/>
      <c r="R29" s="230"/>
      <c r="S29" s="230"/>
      <c r="T29" s="230"/>
      <c r="U29" s="230"/>
      <c r="V29" s="230"/>
      <c r="W29" s="230"/>
      <c r="X29" s="230"/>
      <c r="Y29" s="269"/>
      <c r="AA29" s="153"/>
      <c r="AB29" s="153"/>
    </row>
    <row r="30" spans="1:33" ht="12.95" customHeight="1">
      <c r="A30" s="190"/>
      <c r="B30" s="265"/>
      <c r="C30" s="229"/>
      <c r="D30" s="229"/>
      <c r="E30" s="267" t="s">
        <v>360</v>
      </c>
      <c r="F30" s="145" t="s">
        <v>361</v>
      </c>
      <c r="G30" s="146">
        <v>3</v>
      </c>
      <c r="H30" s="53"/>
      <c r="I30" s="53"/>
      <c r="J30" s="232"/>
      <c r="K30" s="232"/>
      <c r="L30" s="232"/>
      <c r="M30" s="232"/>
      <c r="N30" s="232"/>
      <c r="O30" s="232"/>
      <c r="P30" s="232"/>
      <c r="Q30" s="228"/>
      <c r="R30" s="228"/>
      <c r="S30" s="228"/>
      <c r="T30" s="228"/>
      <c r="U30" s="228"/>
      <c r="V30" s="228"/>
      <c r="W30" s="228"/>
      <c r="X30" s="228"/>
      <c r="Y30" s="269"/>
      <c r="AA30" s="153"/>
      <c r="AB30" s="153"/>
    </row>
    <row r="31" spans="1:33" ht="12.95" customHeight="1">
      <c r="A31" s="190"/>
      <c r="B31" s="265"/>
      <c r="C31" s="229"/>
      <c r="D31" s="229"/>
      <c r="E31" s="244"/>
      <c r="F31" s="146" t="s">
        <v>110</v>
      </c>
      <c r="G31" s="146">
        <v>10</v>
      </c>
      <c r="H31" s="48"/>
      <c r="I31" s="48"/>
      <c r="J31" s="232"/>
      <c r="K31" s="232"/>
      <c r="L31" s="232"/>
      <c r="M31" s="232"/>
      <c r="N31" s="232"/>
      <c r="O31" s="232"/>
      <c r="P31" s="232"/>
      <c r="Q31" s="229"/>
      <c r="R31" s="229"/>
      <c r="S31" s="229"/>
      <c r="T31" s="229"/>
      <c r="U31" s="229"/>
      <c r="V31" s="229"/>
      <c r="W31" s="229"/>
      <c r="X31" s="229"/>
      <c r="Y31" s="269"/>
      <c r="AA31" s="153"/>
      <c r="AB31" s="153"/>
    </row>
    <row r="32" spans="1:33" ht="12.95" customHeight="1">
      <c r="A32" s="190"/>
      <c r="B32" s="266"/>
      <c r="C32" s="230"/>
      <c r="D32" s="229"/>
      <c r="E32" s="245"/>
      <c r="F32" s="146"/>
      <c r="G32" s="146"/>
      <c r="H32" s="54"/>
      <c r="I32" s="54"/>
      <c r="J32" s="233"/>
      <c r="K32" s="233"/>
      <c r="L32" s="233"/>
      <c r="M32" s="233"/>
      <c r="N32" s="233"/>
      <c r="O32" s="233"/>
      <c r="P32" s="233"/>
      <c r="Q32" s="230"/>
      <c r="R32" s="230"/>
      <c r="S32" s="230"/>
      <c r="T32" s="230"/>
      <c r="U32" s="230"/>
      <c r="V32" s="230"/>
      <c r="W32" s="230"/>
      <c r="X32" s="230"/>
      <c r="Y32" s="270"/>
      <c r="AA32" s="153"/>
      <c r="AB32" s="153"/>
    </row>
    <row r="33" spans="1:34" s="68" customFormat="1" ht="12.95" customHeight="1">
      <c r="A33" s="191"/>
      <c r="B33" s="258" t="s">
        <v>37</v>
      </c>
      <c r="C33" s="259"/>
      <c r="D33" s="260"/>
      <c r="E33" s="261" t="s">
        <v>257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3"/>
      <c r="AA33" s="153"/>
      <c r="AB33" s="153"/>
    </row>
    <row r="34" spans="1:34" ht="12.95" customHeight="1">
      <c r="A34" s="189">
        <v>269</v>
      </c>
      <c r="B34" s="264">
        <v>43803</v>
      </c>
      <c r="C34" s="228" t="s">
        <v>111</v>
      </c>
      <c r="D34" s="228" t="s">
        <v>366</v>
      </c>
      <c r="E34" s="255" t="s">
        <v>353</v>
      </c>
      <c r="F34" s="117" t="s">
        <v>354</v>
      </c>
      <c r="G34" s="75">
        <v>6</v>
      </c>
      <c r="H34" s="98" t="s">
        <v>355</v>
      </c>
      <c r="I34" s="117">
        <v>2</v>
      </c>
      <c r="J34" s="231">
        <v>5.5</v>
      </c>
      <c r="K34" s="231">
        <v>0.8</v>
      </c>
      <c r="L34" s="231">
        <v>0</v>
      </c>
      <c r="M34" s="231">
        <v>1.6</v>
      </c>
      <c r="N34" s="231">
        <v>1</v>
      </c>
      <c r="O34" s="231">
        <v>2.5</v>
      </c>
      <c r="P34" s="231">
        <f>SUM(J34*70+K34*75+L34*120+M34*25+N34*60+O34*45)</f>
        <v>657.5</v>
      </c>
      <c r="Q34" s="228"/>
      <c r="R34" s="228"/>
      <c r="S34" s="228"/>
      <c r="T34" s="228"/>
      <c r="U34" s="228"/>
      <c r="V34" s="228"/>
      <c r="W34" s="228"/>
      <c r="X34" s="228"/>
      <c r="Y34" s="228"/>
      <c r="AA34" s="153"/>
      <c r="AB34" s="153"/>
    </row>
    <row r="35" spans="1:34" ht="12.95" customHeight="1">
      <c r="A35" s="190"/>
      <c r="B35" s="265"/>
      <c r="C35" s="229"/>
      <c r="D35" s="229"/>
      <c r="E35" s="256"/>
      <c r="F35" s="146" t="s">
        <v>113</v>
      </c>
      <c r="G35" s="146">
        <v>4</v>
      </c>
      <c r="H35" s="59" t="s">
        <v>114</v>
      </c>
      <c r="I35" s="146">
        <v>2</v>
      </c>
      <c r="J35" s="232"/>
      <c r="K35" s="232"/>
      <c r="L35" s="232"/>
      <c r="M35" s="232"/>
      <c r="N35" s="232"/>
      <c r="O35" s="232"/>
      <c r="P35" s="232"/>
      <c r="Q35" s="229"/>
      <c r="R35" s="229"/>
      <c r="S35" s="229"/>
      <c r="T35" s="229"/>
      <c r="U35" s="229"/>
      <c r="V35" s="229"/>
      <c r="W35" s="229"/>
      <c r="X35" s="229"/>
      <c r="Y35" s="229"/>
      <c r="AA35" s="153"/>
      <c r="AB35" s="153"/>
    </row>
    <row r="36" spans="1:34" ht="12.95" customHeight="1">
      <c r="A36" s="190"/>
      <c r="B36" s="265"/>
      <c r="C36" s="229"/>
      <c r="D36" s="229"/>
      <c r="E36" s="257"/>
      <c r="F36" s="146" t="s">
        <v>356</v>
      </c>
      <c r="G36" s="146">
        <v>9</v>
      </c>
      <c r="H36" s="154"/>
      <c r="I36" s="147"/>
      <c r="J36" s="232"/>
      <c r="K36" s="232"/>
      <c r="L36" s="232"/>
      <c r="M36" s="232"/>
      <c r="N36" s="232"/>
      <c r="O36" s="232"/>
      <c r="P36" s="232"/>
      <c r="Q36" s="230"/>
      <c r="R36" s="230"/>
      <c r="S36" s="230"/>
      <c r="T36" s="230"/>
      <c r="U36" s="230"/>
      <c r="V36" s="230"/>
      <c r="W36" s="230"/>
      <c r="X36" s="230"/>
      <c r="Y36" s="229"/>
      <c r="AA36" s="153"/>
      <c r="AB36" s="153"/>
    </row>
    <row r="37" spans="1:34" ht="12.95" customHeight="1">
      <c r="A37" s="190"/>
      <c r="B37" s="265"/>
      <c r="C37" s="229"/>
      <c r="D37" s="229"/>
      <c r="E37" s="247" t="s">
        <v>115</v>
      </c>
      <c r="F37" s="145" t="s">
        <v>341</v>
      </c>
      <c r="G37" s="49">
        <v>21.52</v>
      </c>
      <c r="H37" s="59"/>
      <c r="I37" s="146"/>
      <c r="J37" s="232"/>
      <c r="K37" s="232"/>
      <c r="L37" s="232"/>
      <c r="M37" s="232"/>
      <c r="N37" s="232"/>
      <c r="O37" s="232"/>
      <c r="P37" s="232"/>
      <c r="Q37" s="228"/>
      <c r="R37" s="228"/>
      <c r="S37" s="228"/>
      <c r="T37" s="228"/>
      <c r="U37" s="228"/>
      <c r="V37" s="228"/>
      <c r="W37" s="228"/>
      <c r="X37" s="228"/>
      <c r="Y37" s="229"/>
      <c r="AA37" s="153"/>
      <c r="AB37" s="153"/>
    </row>
    <row r="38" spans="1:34" ht="12.95" customHeight="1">
      <c r="A38" s="190"/>
      <c r="B38" s="265"/>
      <c r="C38" s="229"/>
      <c r="D38" s="229"/>
      <c r="E38" s="244"/>
      <c r="F38" s="156" t="s">
        <v>342</v>
      </c>
      <c r="G38" s="156" t="s">
        <v>343</v>
      </c>
      <c r="H38" s="59"/>
      <c r="I38" s="58"/>
      <c r="J38" s="232"/>
      <c r="K38" s="232"/>
      <c r="L38" s="232"/>
      <c r="M38" s="232"/>
      <c r="N38" s="232"/>
      <c r="O38" s="232"/>
      <c r="P38" s="232"/>
      <c r="Q38" s="229"/>
      <c r="R38" s="229"/>
      <c r="S38" s="229"/>
      <c r="T38" s="229"/>
      <c r="U38" s="229"/>
      <c r="V38" s="229"/>
      <c r="W38" s="229"/>
      <c r="X38" s="229"/>
      <c r="Y38" s="229"/>
      <c r="AA38" s="153"/>
      <c r="AB38" s="153"/>
    </row>
    <row r="39" spans="1:34" ht="12.95" customHeight="1">
      <c r="A39" s="190"/>
      <c r="B39" s="265"/>
      <c r="C39" s="229"/>
      <c r="D39" s="229"/>
      <c r="E39" s="245"/>
      <c r="F39" s="147"/>
      <c r="G39" s="147"/>
      <c r="H39" s="147"/>
      <c r="I39" s="58"/>
      <c r="J39" s="232"/>
      <c r="K39" s="232"/>
      <c r="L39" s="232"/>
      <c r="M39" s="232"/>
      <c r="N39" s="232"/>
      <c r="O39" s="232"/>
      <c r="P39" s="232"/>
      <c r="Q39" s="230"/>
      <c r="R39" s="230"/>
      <c r="S39" s="230"/>
      <c r="T39" s="230"/>
      <c r="U39" s="230"/>
      <c r="V39" s="230"/>
      <c r="W39" s="230"/>
      <c r="X39" s="230"/>
      <c r="Y39" s="229"/>
      <c r="AA39" s="153"/>
      <c r="AB39" s="153"/>
    </row>
    <row r="40" spans="1:34" ht="12.95" customHeight="1">
      <c r="A40" s="190"/>
      <c r="B40" s="265"/>
      <c r="C40" s="229"/>
      <c r="D40" s="229"/>
      <c r="E40" s="267" t="s">
        <v>258</v>
      </c>
      <c r="F40" s="117" t="s">
        <v>52</v>
      </c>
      <c r="G40" s="117">
        <v>11</v>
      </c>
      <c r="H40" s="53"/>
      <c r="I40" s="53"/>
      <c r="J40" s="232"/>
      <c r="K40" s="232"/>
      <c r="L40" s="232"/>
      <c r="M40" s="232"/>
      <c r="N40" s="232"/>
      <c r="O40" s="232"/>
      <c r="P40" s="232"/>
      <c r="Q40" s="228"/>
      <c r="R40" s="228"/>
      <c r="S40" s="228"/>
      <c r="T40" s="228"/>
      <c r="U40" s="228"/>
      <c r="V40" s="228"/>
      <c r="W40" s="228"/>
      <c r="X40" s="228"/>
      <c r="Y40" s="229"/>
      <c r="AA40" s="153"/>
      <c r="AB40" s="153"/>
    </row>
    <row r="41" spans="1:34" ht="12.95" customHeight="1">
      <c r="A41" s="190"/>
      <c r="B41" s="265"/>
      <c r="C41" s="229"/>
      <c r="D41" s="229"/>
      <c r="E41" s="244"/>
      <c r="F41" s="146" t="s">
        <v>116</v>
      </c>
      <c r="G41" s="146">
        <v>4</v>
      </c>
      <c r="H41" s="48"/>
      <c r="I41" s="48"/>
      <c r="J41" s="232"/>
      <c r="K41" s="232"/>
      <c r="L41" s="232"/>
      <c r="M41" s="232"/>
      <c r="N41" s="232"/>
      <c r="O41" s="232"/>
      <c r="P41" s="232"/>
      <c r="Q41" s="229"/>
      <c r="R41" s="229"/>
      <c r="S41" s="229"/>
      <c r="T41" s="229"/>
      <c r="U41" s="229"/>
      <c r="V41" s="229"/>
      <c r="W41" s="229"/>
      <c r="X41" s="229"/>
      <c r="Y41" s="229"/>
      <c r="AA41" s="153"/>
      <c r="AB41" s="153"/>
    </row>
    <row r="42" spans="1:34" ht="12.95" customHeight="1">
      <c r="A42" s="190"/>
      <c r="B42" s="265"/>
      <c r="C42" s="229"/>
      <c r="D42" s="229"/>
      <c r="E42" s="245"/>
      <c r="F42" s="157"/>
      <c r="G42" s="147"/>
      <c r="H42" s="54"/>
      <c r="I42" s="54"/>
      <c r="J42" s="232"/>
      <c r="K42" s="232"/>
      <c r="L42" s="232"/>
      <c r="M42" s="232"/>
      <c r="N42" s="232"/>
      <c r="O42" s="232"/>
      <c r="P42" s="232"/>
      <c r="Q42" s="230"/>
      <c r="R42" s="230"/>
      <c r="S42" s="230"/>
      <c r="T42" s="230"/>
      <c r="U42" s="230"/>
      <c r="V42" s="230"/>
      <c r="W42" s="230"/>
      <c r="X42" s="230"/>
      <c r="Y42" s="229"/>
      <c r="AA42" s="153"/>
      <c r="AB42" s="153"/>
    </row>
    <row r="43" spans="1:34" ht="12.95" customHeight="1">
      <c r="A43" s="190"/>
      <c r="B43" s="265"/>
      <c r="C43" s="229"/>
      <c r="D43" s="229"/>
      <c r="E43" s="267" t="s">
        <v>352</v>
      </c>
      <c r="F43" s="156" t="s">
        <v>395</v>
      </c>
      <c r="G43" s="120" t="s">
        <v>396</v>
      </c>
      <c r="H43" s="101"/>
      <c r="I43" s="60"/>
      <c r="J43" s="232"/>
      <c r="K43" s="232"/>
      <c r="L43" s="232"/>
      <c r="M43" s="232"/>
      <c r="N43" s="232"/>
      <c r="O43" s="232"/>
      <c r="P43" s="232"/>
      <c r="Q43" s="228"/>
      <c r="R43" s="228"/>
      <c r="S43" s="228"/>
      <c r="T43" s="228"/>
      <c r="U43" s="228"/>
      <c r="V43" s="228"/>
      <c r="W43" s="228"/>
      <c r="X43" s="228"/>
      <c r="Y43" s="229"/>
      <c r="AA43" s="153"/>
      <c r="AB43" s="153"/>
    </row>
    <row r="44" spans="1:34" ht="12.95" customHeight="1">
      <c r="A44" s="190"/>
      <c r="B44" s="265"/>
      <c r="C44" s="229"/>
      <c r="D44" s="229"/>
      <c r="E44" s="271"/>
      <c r="F44" s="81"/>
      <c r="G44" s="81"/>
      <c r="H44" s="100"/>
      <c r="I44" s="61"/>
      <c r="J44" s="232"/>
      <c r="K44" s="232"/>
      <c r="L44" s="232"/>
      <c r="M44" s="232"/>
      <c r="N44" s="232"/>
      <c r="O44" s="232"/>
      <c r="P44" s="232"/>
      <c r="Q44" s="229"/>
      <c r="R44" s="229"/>
      <c r="S44" s="229"/>
      <c r="T44" s="229"/>
      <c r="U44" s="229"/>
      <c r="V44" s="229"/>
      <c r="W44" s="229"/>
      <c r="X44" s="229"/>
      <c r="Y44" s="229"/>
      <c r="AA44" s="153"/>
      <c r="AB44" s="153"/>
    </row>
    <row r="45" spans="1:34" ht="12.95" customHeight="1">
      <c r="A45" s="190"/>
      <c r="B45" s="266"/>
      <c r="C45" s="230"/>
      <c r="D45" s="229"/>
      <c r="E45" s="272"/>
      <c r="F45" s="147"/>
      <c r="G45" s="147"/>
      <c r="H45" s="102"/>
      <c r="I45" s="62"/>
      <c r="J45" s="233"/>
      <c r="K45" s="233"/>
      <c r="L45" s="233"/>
      <c r="M45" s="233"/>
      <c r="N45" s="233"/>
      <c r="O45" s="233"/>
      <c r="P45" s="233"/>
      <c r="Q45" s="230"/>
      <c r="R45" s="230"/>
      <c r="S45" s="230"/>
      <c r="T45" s="230"/>
      <c r="U45" s="230"/>
      <c r="V45" s="230"/>
      <c r="W45" s="230"/>
      <c r="X45" s="230"/>
      <c r="Y45" s="230"/>
      <c r="AA45" s="153"/>
      <c r="AB45" s="153"/>
    </row>
    <row r="46" spans="1:34" s="68" customFormat="1" ht="12.95" customHeight="1">
      <c r="A46" s="191"/>
      <c r="B46" s="258" t="s">
        <v>37</v>
      </c>
      <c r="C46" s="259"/>
      <c r="D46" s="260"/>
      <c r="E46" s="261" t="s">
        <v>117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3"/>
      <c r="AA46" s="153"/>
      <c r="AB46" s="153"/>
      <c r="AD46" s="153"/>
      <c r="AE46" s="153"/>
      <c r="AF46" s="153"/>
      <c r="AG46" s="153"/>
      <c r="AH46" s="153"/>
    </row>
    <row r="47" spans="1:34" ht="12.95" customHeight="1">
      <c r="A47" s="189">
        <v>269</v>
      </c>
      <c r="B47" s="264">
        <v>43804</v>
      </c>
      <c r="C47" s="228" t="s">
        <v>118</v>
      </c>
      <c r="D47" s="228" t="s">
        <v>367</v>
      </c>
      <c r="E47" s="267" t="s">
        <v>259</v>
      </c>
      <c r="F47" s="53" t="s">
        <v>99</v>
      </c>
      <c r="G47" s="53">
        <v>18</v>
      </c>
      <c r="H47" s="117" t="s">
        <v>113</v>
      </c>
      <c r="I47" s="117">
        <v>3</v>
      </c>
      <c r="J47" s="231">
        <v>5.3</v>
      </c>
      <c r="K47" s="231">
        <v>2.5</v>
      </c>
      <c r="L47" s="231">
        <v>0</v>
      </c>
      <c r="M47" s="231">
        <v>1.2</v>
      </c>
      <c r="N47" s="231">
        <v>0</v>
      </c>
      <c r="O47" s="231">
        <v>2.5</v>
      </c>
      <c r="P47" s="231">
        <f>SUM(J47*70+K47*75+L47*120+M47*25+N47*60+O47*45)</f>
        <v>701</v>
      </c>
      <c r="Q47" s="228"/>
      <c r="R47" s="228"/>
      <c r="S47" s="228"/>
      <c r="T47" s="228"/>
      <c r="U47" s="228"/>
      <c r="V47" s="228"/>
      <c r="W47" s="228"/>
      <c r="X47" s="228"/>
      <c r="Y47" s="228"/>
      <c r="AA47" s="153"/>
      <c r="AB47" s="153"/>
    </row>
    <row r="48" spans="1:34" ht="12.95" customHeight="1">
      <c r="A48" s="190"/>
      <c r="B48" s="265"/>
      <c r="C48" s="229"/>
      <c r="D48" s="229"/>
      <c r="E48" s="244"/>
      <c r="F48" s="146" t="s">
        <v>183</v>
      </c>
      <c r="G48" s="139">
        <v>5</v>
      </c>
      <c r="H48" s="146"/>
      <c r="I48" s="146"/>
      <c r="J48" s="232"/>
      <c r="K48" s="232"/>
      <c r="L48" s="232"/>
      <c r="M48" s="232"/>
      <c r="N48" s="232"/>
      <c r="O48" s="232"/>
      <c r="P48" s="232"/>
      <c r="Q48" s="229"/>
      <c r="R48" s="229"/>
      <c r="S48" s="229"/>
      <c r="T48" s="229"/>
      <c r="U48" s="229"/>
      <c r="V48" s="229"/>
      <c r="W48" s="229"/>
      <c r="X48" s="229"/>
      <c r="Y48" s="229"/>
      <c r="AA48" s="153"/>
      <c r="AB48" s="153"/>
    </row>
    <row r="49" spans="1:34" ht="12.95" customHeight="1">
      <c r="A49" s="190"/>
      <c r="B49" s="265"/>
      <c r="C49" s="229"/>
      <c r="D49" s="229"/>
      <c r="E49" s="245"/>
      <c r="F49" s="147" t="s">
        <v>114</v>
      </c>
      <c r="G49" s="147">
        <v>1</v>
      </c>
      <c r="H49" s="147"/>
      <c r="I49" s="147"/>
      <c r="J49" s="232"/>
      <c r="K49" s="232"/>
      <c r="L49" s="232"/>
      <c r="M49" s="232"/>
      <c r="N49" s="232"/>
      <c r="O49" s="232"/>
      <c r="P49" s="232"/>
      <c r="Q49" s="230"/>
      <c r="R49" s="230"/>
      <c r="S49" s="230"/>
      <c r="T49" s="230"/>
      <c r="U49" s="230"/>
      <c r="V49" s="230"/>
      <c r="W49" s="230"/>
      <c r="X49" s="230"/>
      <c r="Y49" s="229"/>
      <c r="AA49" s="153"/>
      <c r="AB49" s="153"/>
    </row>
    <row r="50" spans="1:34" ht="12.95" customHeight="1">
      <c r="A50" s="190"/>
      <c r="B50" s="265"/>
      <c r="C50" s="229"/>
      <c r="D50" s="229"/>
      <c r="E50" s="267" t="s">
        <v>440</v>
      </c>
      <c r="F50" s="146" t="s">
        <v>184</v>
      </c>
      <c r="G50" s="146">
        <v>13</v>
      </c>
      <c r="H50" s="146"/>
      <c r="I50" s="146"/>
      <c r="J50" s="232"/>
      <c r="K50" s="232"/>
      <c r="L50" s="232"/>
      <c r="M50" s="232"/>
      <c r="N50" s="232"/>
      <c r="O50" s="232"/>
      <c r="P50" s="232"/>
      <c r="Q50" s="228"/>
      <c r="R50" s="228"/>
      <c r="S50" s="228"/>
      <c r="T50" s="228"/>
      <c r="U50" s="228"/>
      <c r="V50" s="228"/>
      <c r="W50" s="228"/>
      <c r="X50" s="228"/>
      <c r="Y50" s="229"/>
      <c r="AA50" s="153"/>
      <c r="AB50" s="153"/>
    </row>
    <row r="51" spans="1:34" ht="12.95" customHeight="1">
      <c r="A51" s="190"/>
      <c r="B51" s="265"/>
      <c r="C51" s="229"/>
      <c r="D51" s="229"/>
      <c r="E51" s="244"/>
      <c r="F51" s="196" t="s">
        <v>441</v>
      </c>
      <c r="G51" s="146">
        <v>5</v>
      </c>
      <c r="H51" s="146"/>
      <c r="I51" s="146"/>
      <c r="J51" s="232"/>
      <c r="K51" s="232"/>
      <c r="L51" s="232"/>
      <c r="M51" s="232"/>
      <c r="N51" s="232"/>
      <c r="O51" s="232"/>
      <c r="P51" s="232"/>
      <c r="Q51" s="229"/>
      <c r="R51" s="229"/>
      <c r="S51" s="229"/>
      <c r="T51" s="229"/>
      <c r="U51" s="229"/>
      <c r="V51" s="229"/>
      <c r="W51" s="229"/>
      <c r="X51" s="229"/>
      <c r="Y51" s="229"/>
      <c r="AA51" s="153"/>
      <c r="AB51" s="153"/>
    </row>
    <row r="52" spans="1:34" ht="12.95" customHeight="1">
      <c r="A52" s="190"/>
      <c r="B52" s="265"/>
      <c r="C52" s="229"/>
      <c r="D52" s="229"/>
      <c r="E52" s="245"/>
      <c r="F52" s="146"/>
      <c r="G52" s="146"/>
      <c r="H52" s="146"/>
      <c r="I52" s="146"/>
      <c r="J52" s="232"/>
      <c r="K52" s="232"/>
      <c r="L52" s="232"/>
      <c r="M52" s="232"/>
      <c r="N52" s="232"/>
      <c r="O52" s="232"/>
      <c r="P52" s="232"/>
      <c r="Q52" s="230"/>
      <c r="R52" s="230"/>
      <c r="S52" s="230"/>
      <c r="T52" s="230"/>
      <c r="U52" s="230"/>
      <c r="V52" s="230"/>
      <c r="W52" s="230"/>
      <c r="X52" s="230"/>
      <c r="Y52" s="229"/>
      <c r="AA52" s="153"/>
      <c r="AB52" s="153"/>
    </row>
    <row r="53" spans="1:34" ht="12.95" customHeight="1">
      <c r="A53" s="190"/>
      <c r="B53" s="265"/>
      <c r="C53" s="229"/>
      <c r="D53" s="229"/>
      <c r="E53" s="247" t="s">
        <v>185</v>
      </c>
      <c r="F53" s="145" t="s">
        <v>410</v>
      </c>
      <c r="G53" s="49">
        <v>21.52</v>
      </c>
      <c r="H53" s="53"/>
      <c r="I53" s="53"/>
      <c r="J53" s="232"/>
      <c r="K53" s="232"/>
      <c r="L53" s="232"/>
      <c r="M53" s="232"/>
      <c r="N53" s="232"/>
      <c r="O53" s="232"/>
      <c r="P53" s="232"/>
      <c r="Q53" s="228"/>
      <c r="R53" s="228"/>
      <c r="S53" s="228"/>
      <c r="T53" s="228"/>
      <c r="U53" s="228"/>
      <c r="V53" s="228"/>
      <c r="W53" s="228"/>
      <c r="X53" s="228"/>
      <c r="Y53" s="229"/>
      <c r="AA53" s="153"/>
      <c r="AB53" s="153"/>
    </row>
    <row r="54" spans="1:34" ht="12.95" customHeight="1">
      <c r="A54" s="190"/>
      <c r="B54" s="265"/>
      <c r="C54" s="229"/>
      <c r="D54" s="229"/>
      <c r="E54" s="244"/>
      <c r="F54" s="156" t="s">
        <v>401</v>
      </c>
      <c r="G54" s="156" t="s">
        <v>411</v>
      </c>
      <c r="H54" s="48"/>
      <c r="I54" s="48"/>
      <c r="J54" s="232"/>
      <c r="K54" s="232"/>
      <c r="L54" s="232"/>
      <c r="M54" s="232"/>
      <c r="N54" s="232"/>
      <c r="O54" s="232"/>
      <c r="P54" s="232"/>
      <c r="Q54" s="229"/>
      <c r="R54" s="229"/>
      <c r="S54" s="229"/>
      <c r="T54" s="229"/>
      <c r="U54" s="229"/>
      <c r="V54" s="229"/>
      <c r="W54" s="229"/>
      <c r="X54" s="229"/>
      <c r="Y54" s="229"/>
      <c r="AA54" s="153"/>
      <c r="AB54" s="153"/>
    </row>
    <row r="55" spans="1:34" ht="12.95" customHeight="1">
      <c r="A55" s="190"/>
      <c r="B55" s="265"/>
      <c r="C55" s="229"/>
      <c r="D55" s="229"/>
      <c r="E55" s="245"/>
      <c r="F55" s="147"/>
      <c r="G55" s="147"/>
      <c r="H55" s="54"/>
      <c r="I55" s="54"/>
      <c r="J55" s="232"/>
      <c r="K55" s="232"/>
      <c r="L55" s="232"/>
      <c r="M55" s="232"/>
      <c r="N55" s="232"/>
      <c r="O55" s="232"/>
      <c r="P55" s="232"/>
      <c r="Q55" s="230"/>
      <c r="R55" s="230"/>
      <c r="S55" s="230"/>
      <c r="T55" s="230"/>
      <c r="U55" s="230"/>
      <c r="V55" s="230"/>
      <c r="W55" s="230"/>
      <c r="X55" s="230"/>
      <c r="Y55" s="229"/>
      <c r="AA55" s="153"/>
      <c r="AB55" s="153"/>
    </row>
    <row r="56" spans="1:34" ht="12.95" customHeight="1">
      <c r="A56" s="190"/>
      <c r="B56" s="265"/>
      <c r="C56" s="229"/>
      <c r="D56" s="229"/>
      <c r="E56" s="255" t="s">
        <v>260</v>
      </c>
      <c r="F56" s="97" t="s">
        <v>60</v>
      </c>
      <c r="G56" s="53">
        <v>3.5</v>
      </c>
      <c r="H56" s="53"/>
      <c r="I56" s="53"/>
      <c r="J56" s="232"/>
      <c r="K56" s="232"/>
      <c r="L56" s="232"/>
      <c r="M56" s="232"/>
      <c r="N56" s="232"/>
      <c r="O56" s="232"/>
      <c r="P56" s="232"/>
      <c r="Q56" s="228"/>
      <c r="R56" s="228"/>
      <c r="S56" s="228"/>
      <c r="T56" s="228"/>
      <c r="U56" s="228"/>
      <c r="V56" s="228"/>
      <c r="W56" s="228"/>
      <c r="X56" s="228"/>
      <c r="Y56" s="229"/>
      <c r="AA56" s="153"/>
      <c r="AB56" s="153"/>
    </row>
    <row r="57" spans="1:34" ht="12.95" customHeight="1">
      <c r="A57" s="190"/>
      <c r="B57" s="265"/>
      <c r="C57" s="229"/>
      <c r="D57" s="229"/>
      <c r="E57" s="256"/>
      <c r="F57" s="63" t="s">
        <v>61</v>
      </c>
      <c r="G57" s="48">
        <v>4.2</v>
      </c>
      <c r="H57" s="48"/>
      <c r="I57" s="48"/>
      <c r="J57" s="232"/>
      <c r="K57" s="232"/>
      <c r="L57" s="232"/>
      <c r="M57" s="232"/>
      <c r="N57" s="232"/>
      <c r="O57" s="232"/>
      <c r="P57" s="232"/>
      <c r="Q57" s="229"/>
      <c r="R57" s="229"/>
      <c r="S57" s="229"/>
      <c r="T57" s="229"/>
      <c r="U57" s="229"/>
      <c r="V57" s="229"/>
      <c r="W57" s="229"/>
      <c r="X57" s="229"/>
      <c r="Y57" s="229"/>
      <c r="AA57" s="153"/>
      <c r="AB57" s="153"/>
    </row>
    <row r="58" spans="1:34" ht="12.95" customHeight="1">
      <c r="A58" s="190"/>
      <c r="B58" s="266"/>
      <c r="C58" s="230"/>
      <c r="D58" s="229"/>
      <c r="E58" s="257"/>
      <c r="F58" s="54"/>
      <c r="G58" s="48"/>
      <c r="H58" s="54"/>
      <c r="I58" s="54"/>
      <c r="J58" s="233"/>
      <c r="K58" s="233"/>
      <c r="L58" s="233"/>
      <c r="M58" s="233"/>
      <c r="N58" s="233"/>
      <c r="O58" s="233"/>
      <c r="P58" s="233"/>
      <c r="Q58" s="230"/>
      <c r="R58" s="230"/>
      <c r="S58" s="230"/>
      <c r="T58" s="230"/>
      <c r="U58" s="230"/>
      <c r="V58" s="230"/>
      <c r="W58" s="230"/>
      <c r="X58" s="230"/>
      <c r="Y58" s="230"/>
      <c r="AA58" s="153"/>
      <c r="AB58" s="153"/>
    </row>
    <row r="59" spans="1:34" s="68" customFormat="1" ht="12.95" customHeight="1">
      <c r="A59" s="191"/>
      <c r="B59" s="258" t="s">
        <v>122</v>
      </c>
      <c r="C59" s="259"/>
      <c r="D59" s="260"/>
      <c r="E59" s="261" t="s">
        <v>123</v>
      </c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3"/>
      <c r="AA59" s="153"/>
      <c r="AB59" s="153"/>
      <c r="AC59" s="153"/>
      <c r="AD59" s="153"/>
      <c r="AE59" s="153"/>
      <c r="AF59" s="153"/>
      <c r="AG59" s="153"/>
      <c r="AH59" s="153"/>
    </row>
    <row r="60" spans="1:34" ht="12.95" customHeight="1">
      <c r="A60" s="189">
        <v>269</v>
      </c>
      <c r="B60" s="264">
        <v>43805</v>
      </c>
      <c r="C60" s="235" t="s">
        <v>40</v>
      </c>
      <c r="D60" s="273" t="s">
        <v>369</v>
      </c>
      <c r="E60" s="267" t="s">
        <v>261</v>
      </c>
      <c r="F60" s="117" t="s">
        <v>124</v>
      </c>
      <c r="G60" s="117">
        <v>15</v>
      </c>
      <c r="H60" s="98"/>
      <c r="I60" s="117"/>
      <c r="J60" s="231">
        <v>5</v>
      </c>
      <c r="K60" s="231">
        <v>3.2</v>
      </c>
      <c r="L60" s="231">
        <v>0</v>
      </c>
      <c r="M60" s="231">
        <v>1.5</v>
      </c>
      <c r="N60" s="231">
        <v>0</v>
      </c>
      <c r="O60" s="231">
        <v>3.3</v>
      </c>
      <c r="P60" s="231">
        <f>SUM(J60*70+K60*75+L60*120+M60*25+N60*60+O60*45)</f>
        <v>776</v>
      </c>
      <c r="Q60" s="228"/>
      <c r="R60" s="228"/>
      <c r="S60" s="228"/>
      <c r="T60" s="228"/>
      <c r="U60" s="228"/>
      <c r="V60" s="228"/>
      <c r="W60" s="228"/>
      <c r="X60" s="228"/>
      <c r="Y60" s="268"/>
      <c r="AA60" s="153"/>
      <c r="AB60" s="153"/>
    </row>
    <row r="61" spans="1:34" ht="12.95" customHeight="1">
      <c r="A61" s="190"/>
      <c r="B61" s="265"/>
      <c r="C61" s="236"/>
      <c r="D61" s="274"/>
      <c r="E61" s="244"/>
      <c r="F61" s="146" t="s">
        <v>125</v>
      </c>
      <c r="G61" s="146">
        <v>5</v>
      </c>
      <c r="H61" s="59"/>
      <c r="I61" s="146"/>
      <c r="J61" s="232"/>
      <c r="K61" s="232"/>
      <c r="L61" s="232"/>
      <c r="M61" s="232"/>
      <c r="N61" s="232"/>
      <c r="O61" s="232"/>
      <c r="P61" s="232"/>
      <c r="Q61" s="229"/>
      <c r="R61" s="229"/>
      <c r="S61" s="229"/>
      <c r="T61" s="229"/>
      <c r="U61" s="229"/>
      <c r="V61" s="229"/>
      <c r="W61" s="229"/>
      <c r="X61" s="229"/>
      <c r="Y61" s="269"/>
      <c r="AA61" s="153"/>
      <c r="AB61" s="153"/>
    </row>
    <row r="62" spans="1:34" ht="12.95" customHeight="1">
      <c r="A62" s="190"/>
      <c r="B62" s="265"/>
      <c r="C62" s="236"/>
      <c r="D62" s="274"/>
      <c r="E62" s="245"/>
      <c r="F62" s="147" t="s">
        <v>51</v>
      </c>
      <c r="G62" s="147">
        <v>4</v>
      </c>
      <c r="H62" s="154"/>
      <c r="I62" s="147"/>
      <c r="J62" s="232"/>
      <c r="K62" s="232"/>
      <c r="L62" s="232"/>
      <c r="M62" s="232"/>
      <c r="N62" s="232"/>
      <c r="O62" s="232"/>
      <c r="P62" s="232"/>
      <c r="Q62" s="230"/>
      <c r="R62" s="230"/>
      <c r="S62" s="230"/>
      <c r="T62" s="230"/>
      <c r="U62" s="230"/>
      <c r="V62" s="230"/>
      <c r="W62" s="230"/>
      <c r="X62" s="230"/>
      <c r="Y62" s="269"/>
      <c r="AA62" s="153"/>
      <c r="AB62" s="153"/>
      <c r="AC62" s="68"/>
    </row>
    <row r="63" spans="1:34" ht="12.95" customHeight="1">
      <c r="A63" s="190"/>
      <c r="B63" s="265"/>
      <c r="C63" s="236"/>
      <c r="D63" s="274"/>
      <c r="E63" s="267" t="s">
        <v>298</v>
      </c>
      <c r="F63" s="178" t="s">
        <v>296</v>
      </c>
      <c r="G63" s="117">
        <v>20</v>
      </c>
      <c r="H63" s="59"/>
      <c r="I63" s="146"/>
      <c r="J63" s="232"/>
      <c r="K63" s="232"/>
      <c r="L63" s="232"/>
      <c r="M63" s="232"/>
      <c r="N63" s="232"/>
      <c r="O63" s="232"/>
      <c r="P63" s="232"/>
      <c r="Q63" s="228"/>
      <c r="R63" s="228"/>
      <c r="S63" s="228"/>
      <c r="T63" s="228"/>
      <c r="U63" s="228"/>
      <c r="V63" s="228"/>
      <c r="W63" s="228"/>
      <c r="X63" s="228"/>
      <c r="Y63" s="269"/>
      <c r="AA63" s="153"/>
      <c r="AB63" s="153"/>
      <c r="AC63" s="68"/>
    </row>
    <row r="64" spans="1:34" ht="12.95" customHeight="1">
      <c r="A64" s="190"/>
      <c r="B64" s="265"/>
      <c r="C64" s="236"/>
      <c r="D64" s="274"/>
      <c r="E64" s="244"/>
      <c r="F64" s="156" t="s">
        <v>297</v>
      </c>
      <c r="G64" s="146">
        <v>2</v>
      </c>
      <c r="H64" s="59"/>
      <c r="I64" s="146"/>
      <c r="J64" s="232"/>
      <c r="K64" s="232"/>
      <c r="L64" s="232"/>
      <c r="M64" s="232"/>
      <c r="N64" s="232"/>
      <c r="O64" s="232"/>
      <c r="P64" s="232"/>
      <c r="Q64" s="229"/>
      <c r="R64" s="229"/>
      <c r="S64" s="229"/>
      <c r="T64" s="229"/>
      <c r="U64" s="229"/>
      <c r="V64" s="229"/>
      <c r="W64" s="229"/>
      <c r="X64" s="229"/>
      <c r="Y64" s="269"/>
      <c r="AA64" s="153"/>
      <c r="AB64" s="153"/>
      <c r="AC64" s="68"/>
    </row>
    <row r="65" spans="1:34" ht="12.95" customHeight="1">
      <c r="A65" s="190"/>
      <c r="B65" s="265"/>
      <c r="C65" s="236"/>
      <c r="D65" s="274"/>
      <c r="E65" s="245"/>
      <c r="F65" s="121" t="s">
        <v>295</v>
      </c>
      <c r="G65" s="146">
        <v>1</v>
      </c>
      <c r="H65" s="59"/>
      <c r="I65" s="146"/>
      <c r="J65" s="232"/>
      <c r="K65" s="232"/>
      <c r="L65" s="232"/>
      <c r="M65" s="232"/>
      <c r="N65" s="232"/>
      <c r="O65" s="232"/>
      <c r="P65" s="232"/>
      <c r="Q65" s="230"/>
      <c r="R65" s="230"/>
      <c r="S65" s="230"/>
      <c r="T65" s="230"/>
      <c r="U65" s="230"/>
      <c r="V65" s="230"/>
      <c r="W65" s="230"/>
      <c r="X65" s="230"/>
      <c r="Y65" s="269"/>
      <c r="AA65" s="153"/>
      <c r="AB65" s="153"/>
      <c r="AC65" s="68"/>
    </row>
    <row r="66" spans="1:34" ht="12.95" customHeight="1">
      <c r="A66" s="190"/>
      <c r="B66" s="265"/>
      <c r="C66" s="236"/>
      <c r="D66" s="274"/>
      <c r="E66" s="247" t="s">
        <v>104</v>
      </c>
      <c r="F66" s="145" t="s">
        <v>341</v>
      </c>
      <c r="G66" s="49">
        <v>21.52</v>
      </c>
      <c r="H66" s="53"/>
      <c r="I66" s="53"/>
      <c r="J66" s="232"/>
      <c r="K66" s="232"/>
      <c r="L66" s="232"/>
      <c r="M66" s="232"/>
      <c r="N66" s="232"/>
      <c r="O66" s="232"/>
      <c r="P66" s="232"/>
      <c r="Q66" s="228"/>
      <c r="R66" s="228"/>
      <c r="S66" s="228"/>
      <c r="T66" s="228"/>
      <c r="U66" s="228"/>
      <c r="V66" s="228"/>
      <c r="W66" s="228"/>
      <c r="X66" s="228"/>
      <c r="Y66" s="269"/>
      <c r="AA66" s="153"/>
      <c r="AB66" s="153"/>
      <c r="AC66" s="68"/>
    </row>
    <row r="67" spans="1:34" ht="12.95" customHeight="1">
      <c r="A67" s="190"/>
      <c r="B67" s="265"/>
      <c r="C67" s="236"/>
      <c r="D67" s="274"/>
      <c r="E67" s="244"/>
      <c r="F67" s="156" t="s">
        <v>342</v>
      </c>
      <c r="G67" s="156" t="s">
        <v>343</v>
      </c>
      <c r="H67" s="48"/>
      <c r="I67" s="48"/>
      <c r="J67" s="232"/>
      <c r="K67" s="232"/>
      <c r="L67" s="232"/>
      <c r="M67" s="232"/>
      <c r="N67" s="232"/>
      <c r="O67" s="232"/>
      <c r="P67" s="232"/>
      <c r="Q67" s="229"/>
      <c r="R67" s="229"/>
      <c r="S67" s="229"/>
      <c r="T67" s="229"/>
      <c r="U67" s="229"/>
      <c r="V67" s="229"/>
      <c r="W67" s="229"/>
      <c r="X67" s="229"/>
      <c r="Y67" s="269"/>
      <c r="AA67" s="153"/>
      <c r="AB67" s="153"/>
      <c r="AC67" s="68"/>
    </row>
    <row r="68" spans="1:34" ht="12.95" customHeight="1">
      <c r="A68" s="190"/>
      <c r="B68" s="265"/>
      <c r="C68" s="236"/>
      <c r="D68" s="274"/>
      <c r="E68" s="245"/>
      <c r="F68" s="147"/>
      <c r="G68" s="147"/>
      <c r="H68" s="54"/>
      <c r="I68" s="54"/>
      <c r="J68" s="232"/>
      <c r="K68" s="232"/>
      <c r="L68" s="232"/>
      <c r="M68" s="232"/>
      <c r="N68" s="232"/>
      <c r="O68" s="232"/>
      <c r="P68" s="232"/>
      <c r="Q68" s="230"/>
      <c r="R68" s="230"/>
      <c r="S68" s="230"/>
      <c r="T68" s="230"/>
      <c r="U68" s="230"/>
      <c r="V68" s="230"/>
      <c r="W68" s="230"/>
      <c r="X68" s="230"/>
      <c r="Y68" s="269"/>
      <c r="AA68" s="153"/>
      <c r="AB68" s="153"/>
      <c r="AC68" s="68"/>
    </row>
    <row r="69" spans="1:34" ht="12.95" customHeight="1">
      <c r="A69" s="190"/>
      <c r="B69" s="265"/>
      <c r="C69" s="236"/>
      <c r="D69" s="274"/>
      <c r="E69" s="255" t="s">
        <v>262</v>
      </c>
      <c r="F69" s="53" t="s">
        <v>126</v>
      </c>
      <c r="G69" s="53">
        <v>3</v>
      </c>
      <c r="H69" s="53" t="s">
        <v>127</v>
      </c>
      <c r="I69" s="53">
        <v>1.3</v>
      </c>
      <c r="J69" s="232"/>
      <c r="K69" s="232"/>
      <c r="L69" s="232"/>
      <c r="M69" s="232"/>
      <c r="N69" s="232"/>
      <c r="O69" s="232"/>
      <c r="P69" s="232"/>
      <c r="Q69" s="228"/>
      <c r="R69" s="228"/>
      <c r="S69" s="228"/>
      <c r="T69" s="228"/>
      <c r="U69" s="228"/>
      <c r="V69" s="228"/>
      <c r="W69" s="228"/>
      <c r="X69" s="228"/>
      <c r="Y69" s="269"/>
      <c r="AA69" s="153"/>
      <c r="AB69" s="153"/>
      <c r="AC69" s="68"/>
    </row>
    <row r="70" spans="1:34" ht="12.95" customHeight="1">
      <c r="A70" s="190"/>
      <c r="B70" s="265"/>
      <c r="C70" s="236"/>
      <c r="D70" s="274"/>
      <c r="E70" s="256"/>
      <c r="F70" s="48" t="s">
        <v>128</v>
      </c>
      <c r="G70" s="48">
        <v>3</v>
      </c>
      <c r="H70" s="48" t="s">
        <v>129</v>
      </c>
      <c r="I70" s="48">
        <v>4.8</v>
      </c>
      <c r="J70" s="232"/>
      <c r="K70" s="232"/>
      <c r="L70" s="232"/>
      <c r="M70" s="232"/>
      <c r="N70" s="232"/>
      <c r="O70" s="232"/>
      <c r="P70" s="232"/>
      <c r="Q70" s="229"/>
      <c r="R70" s="229"/>
      <c r="S70" s="229"/>
      <c r="T70" s="229"/>
      <c r="U70" s="229"/>
      <c r="V70" s="229"/>
      <c r="W70" s="229"/>
      <c r="X70" s="229"/>
      <c r="Y70" s="269"/>
      <c r="AA70" s="153"/>
      <c r="AB70" s="153"/>
      <c r="AC70" s="68"/>
    </row>
    <row r="71" spans="1:34" ht="12.95" customHeight="1">
      <c r="A71" s="190"/>
      <c r="B71" s="266"/>
      <c r="C71" s="237"/>
      <c r="D71" s="275"/>
      <c r="E71" s="257"/>
      <c r="F71" s="54" t="s">
        <v>119</v>
      </c>
      <c r="G71" s="48">
        <v>3</v>
      </c>
      <c r="H71" s="54"/>
      <c r="I71" s="54"/>
      <c r="J71" s="233"/>
      <c r="K71" s="233"/>
      <c r="L71" s="233"/>
      <c r="M71" s="233"/>
      <c r="N71" s="233"/>
      <c r="O71" s="233"/>
      <c r="P71" s="233"/>
      <c r="Q71" s="230"/>
      <c r="R71" s="230"/>
      <c r="S71" s="230"/>
      <c r="T71" s="230"/>
      <c r="U71" s="230"/>
      <c r="V71" s="230"/>
      <c r="W71" s="230"/>
      <c r="X71" s="230"/>
      <c r="Y71" s="270"/>
      <c r="AA71" s="153"/>
      <c r="AB71" s="153"/>
    </row>
    <row r="72" spans="1:34" s="68" customFormat="1" ht="12.95" customHeight="1">
      <c r="A72" s="191"/>
      <c r="B72" s="276" t="s">
        <v>122</v>
      </c>
      <c r="C72" s="277"/>
      <c r="D72" s="278"/>
      <c r="E72" s="279" t="s">
        <v>393</v>
      </c>
      <c r="F72" s="262"/>
      <c r="G72" s="262"/>
      <c r="H72" s="262"/>
      <c r="I72" s="262"/>
      <c r="J72" s="280"/>
      <c r="K72" s="280"/>
      <c r="L72" s="280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3"/>
      <c r="AA72" s="153"/>
      <c r="AB72" s="153"/>
      <c r="AC72" s="153"/>
      <c r="AD72" s="153"/>
      <c r="AE72" s="153"/>
      <c r="AF72" s="153"/>
      <c r="AG72" s="153"/>
      <c r="AH72" s="153"/>
    </row>
    <row r="73" spans="1:34" ht="12.95" customHeight="1">
      <c r="B73" s="281" t="s">
        <v>130</v>
      </c>
      <c r="C73" s="282"/>
      <c r="D73" s="282"/>
      <c r="E73" s="283"/>
      <c r="F73" s="290" t="s">
        <v>131</v>
      </c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2"/>
      <c r="AA73" s="153"/>
      <c r="AB73" s="153"/>
    </row>
    <row r="74" spans="1:34" ht="12.95" customHeight="1">
      <c r="B74" s="284"/>
      <c r="C74" s="285"/>
      <c r="D74" s="285"/>
      <c r="E74" s="286"/>
      <c r="F74" s="293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5"/>
      <c r="AA74" s="153"/>
      <c r="AB74" s="153"/>
    </row>
    <row r="75" spans="1:34" ht="12.95" customHeight="1">
      <c r="B75" s="284"/>
      <c r="C75" s="285"/>
      <c r="D75" s="285"/>
      <c r="E75" s="286"/>
      <c r="F75" s="293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5"/>
      <c r="AA75" s="153"/>
      <c r="AB75" s="153"/>
    </row>
    <row r="76" spans="1:34" ht="12.95" customHeight="1">
      <c r="B76" s="287"/>
      <c r="C76" s="288"/>
      <c r="D76" s="288"/>
      <c r="E76" s="289"/>
      <c r="F76" s="296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8"/>
      <c r="AA76" s="153"/>
      <c r="AB76" s="153"/>
    </row>
    <row r="77" spans="1:34" ht="14.45" customHeight="1">
      <c r="A77" s="153"/>
      <c r="B77" s="299" t="s">
        <v>132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AA77" s="153"/>
      <c r="AB77" s="153"/>
    </row>
    <row r="78" spans="1:34" ht="19.5" customHeight="1">
      <c r="B78" s="300" t="s">
        <v>133</v>
      </c>
      <c r="C78" s="300"/>
      <c r="D78" s="300"/>
      <c r="E78" s="300"/>
      <c r="F78" s="222"/>
      <c r="H78" s="300" t="s">
        <v>38</v>
      </c>
      <c r="I78" s="300"/>
      <c r="J78" s="300"/>
      <c r="K78" s="67"/>
      <c r="L78" s="67"/>
      <c r="M78" s="67"/>
      <c r="N78" s="301"/>
      <c r="O78" s="301"/>
      <c r="P78" s="144"/>
      <c r="Q78" s="144"/>
      <c r="R78" s="144"/>
      <c r="S78" s="301" t="s">
        <v>134</v>
      </c>
      <c r="T78" s="301"/>
      <c r="U78" s="57"/>
      <c r="V78" s="57"/>
      <c r="W78" s="57"/>
      <c r="X78" s="57"/>
      <c r="Y78" s="57"/>
      <c r="AA78" s="153"/>
      <c r="AB78" s="153"/>
    </row>
    <row r="79" spans="1:34">
      <c r="AA79" s="57"/>
    </row>
  </sheetData>
  <protectedRanges>
    <protectedRange password="C60F" sqref="P77:S77" name="範圍1_1_1"/>
  </protectedRanges>
  <mergeCells count="285">
    <mergeCell ref="B72:D72"/>
    <mergeCell ref="E72:Y72"/>
    <mergeCell ref="B73:E76"/>
    <mergeCell ref="F73:Y76"/>
    <mergeCell ref="B77:Y77"/>
    <mergeCell ref="B78:E78"/>
    <mergeCell ref="N78:O78"/>
    <mergeCell ref="X66:X68"/>
    <mergeCell ref="E69:E71"/>
    <mergeCell ref="Q69:Q71"/>
    <mergeCell ref="R69:R71"/>
    <mergeCell ref="S69:S71"/>
    <mergeCell ref="T69:T71"/>
    <mergeCell ref="U69:U71"/>
    <mergeCell ref="V69:V71"/>
    <mergeCell ref="W69:W71"/>
    <mergeCell ref="X69:X71"/>
    <mergeCell ref="H78:J78"/>
    <mergeCell ref="S78:T78"/>
    <mergeCell ref="W63:W65"/>
    <mergeCell ref="X63:X65"/>
    <mergeCell ref="E66:E68"/>
    <mergeCell ref="Q66:Q68"/>
    <mergeCell ref="R66:R68"/>
    <mergeCell ref="S66:S68"/>
    <mergeCell ref="T66:T68"/>
    <mergeCell ref="U66:U68"/>
    <mergeCell ref="V66:V68"/>
    <mergeCell ref="W66:W68"/>
    <mergeCell ref="Q60:Q62"/>
    <mergeCell ref="R60:R62"/>
    <mergeCell ref="S60:S62"/>
    <mergeCell ref="T60:T62"/>
    <mergeCell ref="U60:U62"/>
    <mergeCell ref="V60:V62"/>
    <mergeCell ref="K60:K71"/>
    <mergeCell ref="L60:L71"/>
    <mergeCell ref="M60:M71"/>
    <mergeCell ref="N60:N71"/>
    <mergeCell ref="O60:O71"/>
    <mergeCell ref="P60:P71"/>
    <mergeCell ref="X56:X58"/>
    <mergeCell ref="B59:D59"/>
    <mergeCell ref="E59:Y59"/>
    <mergeCell ref="B60:B71"/>
    <mergeCell ref="C60:C71"/>
    <mergeCell ref="D60:D71"/>
    <mergeCell ref="E60:E62"/>
    <mergeCell ref="J60:J71"/>
    <mergeCell ref="E56:E58"/>
    <mergeCell ref="Q56:Q58"/>
    <mergeCell ref="R56:R58"/>
    <mergeCell ref="S56:S58"/>
    <mergeCell ref="T56:T58"/>
    <mergeCell ref="U56:U58"/>
    <mergeCell ref="W60:W62"/>
    <mergeCell ref="X60:X62"/>
    <mergeCell ref="Y60:Y71"/>
    <mergeCell ref="E63:E65"/>
    <mergeCell ref="Q63:Q65"/>
    <mergeCell ref="R63:R65"/>
    <mergeCell ref="S63:S65"/>
    <mergeCell ref="T63:T65"/>
    <mergeCell ref="U63:U65"/>
    <mergeCell ref="V63:V65"/>
    <mergeCell ref="X50:X52"/>
    <mergeCell ref="E53:E55"/>
    <mergeCell ref="Q53:Q55"/>
    <mergeCell ref="R53:R55"/>
    <mergeCell ref="S53:S55"/>
    <mergeCell ref="T53:T55"/>
    <mergeCell ref="U53:U55"/>
    <mergeCell ref="V53:V55"/>
    <mergeCell ref="W53:W55"/>
    <mergeCell ref="X53:X55"/>
    <mergeCell ref="E50:E52"/>
    <mergeCell ref="Q50:Q52"/>
    <mergeCell ref="R50:R52"/>
    <mergeCell ref="S50:S52"/>
    <mergeCell ref="T50:T52"/>
    <mergeCell ref="U50:U52"/>
    <mergeCell ref="V50:V52"/>
    <mergeCell ref="W50:W52"/>
    <mergeCell ref="R47:R49"/>
    <mergeCell ref="S47:S49"/>
    <mergeCell ref="T47:T49"/>
    <mergeCell ref="U47:U49"/>
    <mergeCell ref="V47:V49"/>
    <mergeCell ref="W47:W49"/>
    <mergeCell ref="L47:L58"/>
    <mergeCell ref="M47:M58"/>
    <mergeCell ref="N47:N58"/>
    <mergeCell ref="O47:O58"/>
    <mergeCell ref="P47:P58"/>
    <mergeCell ref="Q47:Q49"/>
    <mergeCell ref="V56:V58"/>
    <mergeCell ref="W56:W58"/>
    <mergeCell ref="B46:D46"/>
    <mergeCell ref="E46:Y46"/>
    <mergeCell ref="B47:B58"/>
    <mergeCell ref="C47:C58"/>
    <mergeCell ref="D47:D58"/>
    <mergeCell ref="E47:E49"/>
    <mergeCell ref="J47:J58"/>
    <mergeCell ref="K47:K58"/>
    <mergeCell ref="Y34:Y45"/>
    <mergeCell ref="E37:E39"/>
    <mergeCell ref="Q37:Q39"/>
    <mergeCell ref="R37:R39"/>
    <mergeCell ref="S37:S39"/>
    <mergeCell ref="T37:T39"/>
    <mergeCell ref="U37:U39"/>
    <mergeCell ref="V37:V39"/>
    <mergeCell ref="W37:W39"/>
    <mergeCell ref="X37:X39"/>
    <mergeCell ref="S34:S36"/>
    <mergeCell ref="T34:T36"/>
    <mergeCell ref="U34:U36"/>
    <mergeCell ref="V34:V36"/>
    <mergeCell ref="X47:X49"/>
    <mergeCell ref="Y47:Y58"/>
    <mergeCell ref="X40:X42"/>
    <mergeCell ref="E43:E45"/>
    <mergeCell ref="Q43:Q45"/>
    <mergeCell ref="R43:R45"/>
    <mergeCell ref="S43:S45"/>
    <mergeCell ref="T43:T45"/>
    <mergeCell ref="U43:U45"/>
    <mergeCell ref="V43:V45"/>
    <mergeCell ref="E40:E42"/>
    <mergeCell ref="Q40:Q42"/>
    <mergeCell ref="R40:R42"/>
    <mergeCell ref="S40:S42"/>
    <mergeCell ref="T40:T42"/>
    <mergeCell ref="U40:U42"/>
    <mergeCell ref="W43:W45"/>
    <mergeCell ref="X43:X45"/>
    <mergeCell ref="T30:T32"/>
    <mergeCell ref="U30:U32"/>
    <mergeCell ref="V30:V32"/>
    <mergeCell ref="W30:W32"/>
    <mergeCell ref="X30:X32"/>
    <mergeCell ref="B33:D33"/>
    <mergeCell ref="E33:Y33"/>
    <mergeCell ref="B34:B45"/>
    <mergeCell ref="C34:C45"/>
    <mergeCell ref="D34:D45"/>
    <mergeCell ref="E34:E36"/>
    <mergeCell ref="J34:J45"/>
    <mergeCell ref="K34:K45"/>
    <mergeCell ref="L34:L45"/>
    <mergeCell ref="W34:W36"/>
    <mergeCell ref="X34:X36"/>
    <mergeCell ref="M34:M45"/>
    <mergeCell ref="N34:N45"/>
    <mergeCell ref="O34:O45"/>
    <mergeCell ref="P34:P45"/>
    <mergeCell ref="Q34:Q36"/>
    <mergeCell ref="R34:R36"/>
    <mergeCell ref="V40:V42"/>
    <mergeCell ref="W40:W42"/>
    <mergeCell ref="X24:X26"/>
    <mergeCell ref="E27:E29"/>
    <mergeCell ref="Q27:Q29"/>
    <mergeCell ref="S27:S29"/>
    <mergeCell ref="T27:T29"/>
    <mergeCell ref="U27:U29"/>
    <mergeCell ref="V27:V29"/>
    <mergeCell ref="W27:W29"/>
    <mergeCell ref="X27:X29"/>
    <mergeCell ref="W21:W23"/>
    <mergeCell ref="X21:X23"/>
    <mergeCell ref="Y21:Y32"/>
    <mergeCell ref="R27:R29"/>
    <mergeCell ref="E24:E26"/>
    <mergeCell ref="Q24:Q26"/>
    <mergeCell ref="R24:R26"/>
    <mergeCell ref="S24:S26"/>
    <mergeCell ref="T24:T26"/>
    <mergeCell ref="U24:U26"/>
    <mergeCell ref="Q21:Q23"/>
    <mergeCell ref="R21:R23"/>
    <mergeCell ref="S21:S23"/>
    <mergeCell ref="T21:T23"/>
    <mergeCell ref="U21:U23"/>
    <mergeCell ref="V21:V23"/>
    <mergeCell ref="K21:K32"/>
    <mergeCell ref="L21:L32"/>
    <mergeCell ref="M21:M32"/>
    <mergeCell ref="N21:N32"/>
    <mergeCell ref="O21:O32"/>
    <mergeCell ref="P21:P32"/>
    <mergeCell ref="V24:V26"/>
    <mergeCell ref="W24:W26"/>
    <mergeCell ref="B20:D20"/>
    <mergeCell ref="E20:Y20"/>
    <mergeCell ref="T17:T19"/>
    <mergeCell ref="U17:U19"/>
    <mergeCell ref="B21:B32"/>
    <mergeCell ref="C21:C32"/>
    <mergeCell ref="D21:D32"/>
    <mergeCell ref="E21:E23"/>
    <mergeCell ref="J21:J32"/>
    <mergeCell ref="E17:E19"/>
    <mergeCell ref="Q17:Q19"/>
    <mergeCell ref="R17:R19"/>
    <mergeCell ref="S17:S19"/>
    <mergeCell ref="B8:B19"/>
    <mergeCell ref="C8:C19"/>
    <mergeCell ref="D8:D19"/>
    <mergeCell ref="E8:E10"/>
    <mergeCell ref="J8:J19"/>
    <mergeCell ref="K8:K19"/>
    <mergeCell ref="L8:L19"/>
    <mergeCell ref="E30:E32"/>
    <mergeCell ref="Q30:Q32"/>
    <mergeCell ref="R30:R32"/>
    <mergeCell ref="S30:S32"/>
    <mergeCell ref="Y8:Y19"/>
    <mergeCell ref="S8:S10"/>
    <mergeCell ref="T8:T10"/>
    <mergeCell ref="U8:U10"/>
    <mergeCell ref="V8:V10"/>
    <mergeCell ref="E14:E16"/>
    <mergeCell ref="Q14:Q16"/>
    <mergeCell ref="R14:R16"/>
    <mergeCell ref="S14:S16"/>
    <mergeCell ref="T14:T16"/>
    <mergeCell ref="U14:U16"/>
    <mergeCell ref="V14:V16"/>
    <mergeCell ref="W14:W16"/>
    <mergeCell ref="X14:X16"/>
    <mergeCell ref="E11:E13"/>
    <mergeCell ref="Q11:Q13"/>
    <mergeCell ref="R11:R13"/>
    <mergeCell ref="S11:S13"/>
    <mergeCell ref="T11:T13"/>
    <mergeCell ref="U11:U13"/>
    <mergeCell ref="V11:V13"/>
    <mergeCell ref="W11:W13"/>
    <mergeCell ref="X11:X13"/>
    <mergeCell ref="B3:B7"/>
    <mergeCell ref="C3:C7"/>
    <mergeCell ref="D3:D7"/>
    <mergeCell ref="E3:P3"/>
    <mergeCell ref="Q3:S3"/>
    <mergeCell ref="T3:X3"/>
    <mergeCell ref="Y3:Y7"/>
    <mergeCell ref="E4:E7"/>
    <mergeCell ref="F4:F7"/>
    <mergeCell ref="G4:G7"/>
    <mergeCell ref="H4:H7"/>
    <mergeCell ref="I4:I7"/>
    <mergeCell ref="J4:P4"/>
    <mergeCell ref="Q4:Q7"/>
    <mergeCell ref="R4:R7"/>
    <mergeCell ref="J5:J7"/>
    <mergeCell ref="K5:K7"/>
    <mergeCell ref="L5:L7"/>
    <mergeCell ref="V4:V6"/>
    <mergeCell ref="W4:W6"/>
    <mergeCell ref="X4:X6"/>
    <mergeCell ref="T4:T6"/>
    <mergeCell ref="P1:V1"/>
    <mergeCell ref="E2:G2"/>
    <mergeCell ref="H2:O2"/>
    <mergeCell ref="P2:U2"/>
    <mergeCell ref="V2:X2"/>
    <mergeCell ref="M5:M7"/>
    <mergeCell ref="W8:W10"/>
    <mergeCell ref="X8:X10"/>
    <mergeCell ref="M8:M19"/>
    <mergeCell ref="N8:N19"/>
    <mergeCell ref="O8:O19"/>
    <mergeCell ref="P8:P19"/>
    <mergeCell ref="Q8:Q10"/>
    <mergeCell ref="R8:R10"/>
    <mergeCell ref="N5:N7"/>
    <mergeCell ref="O5:O7"/>
    <mergeCell ref="P5:P7"/>
    <mergeCell ref="S4:S7"/>
    <mergeCell ref="U4:U6"/>
    <mergeCell ref="V17:V19"/>
    <mergeCell ref="W17:W19"/>
    <mergeCell ref="X17:X19"/>
  </mergeCells>
  <phoneticPr fontId="3" type="noConversion"/>
  <pageMargins left="0.59055118110236227" right="0.39370078740157483" top="0.19685039370078741" bottom="0" header="0" footer="0"/>
  <pageSetup paperSize="8" scale="12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1:AI79"/>
  <sheetViews>
    <sheetView zoomScaleNormal="100" workbookViewId="0">
      <selection activeCell="E82" sqref="E82"/>
    </sheetView>
  </sheetViews>
  <sheetFormatPr defaultColWidth="9" defaultRowHeight="16.5"/>
  <cols>
    <col min="1" max="1" width="5.375" style="119" customWidth="1"/>
    <col min="2" max="2" width="3.625" style="92" customWidth="1"/>
    <col min="3" max="4" width="3.625" style="153" customWidth="1"/>
    <col min="5" max="5" width="11.625" style="153" customWidth="1"/>
    <col min="6" max="6" width="6.5" style="153" customWidth="1"/>
    <col min="7" max="7" width="5.625" style="153" customWidth="1"/>
    <col min="8" max="8" width="6.25" style="153" customWidth="1"/>
    <col min="9" max="9" width="3.625" style="153" customWidth="1"/>
    <col min="10" max="10" width="4" style="153" customWidth="1"/>
    <col min="11" max="11" width="3.625" style="153" customWidth="1"/>
    <col min="12" max="12" width="4" style="153" customWidth="1"/>
    <col min="13" max="13" width="3.875" style="153" customWidth="1"/>
    <col min="14" max="14" width="4.5" style="153" customWidth="1"/>
    <col min="15" max="21" width="3.875" style="153" customWidth="1"/>
    <col min="22" max="22" width="4.5" style="153" customWidth="1"/>
    <col min="23" max="25" width="3.875" style="153" customWidth="1"/>
    <col min="26" max="26" width="2.5" style="153" customWidth="1"/>
    <col min="27" max="27" width="12.375" style="52" customWidth="1"/>
    <col min="28" max="28" width="9" style="109"/>
    <col min="29" max="16384" width="9" style="153"/>
  </cols>
  <sheetData>
    <row r="1" spans="1:30" s="155" customFormat="1">
      <c r="A1" s="93"/>
      <c r="B1" s="93"/>
      <c r="F1" s="153"/>
      <c r="G1" s="153"/>
      <c r="H1" s="153"/>
      <c r="I1" s="153"/>
      <c r="P1" s="312" t="s">
        <v>136</v>
      </c>
      <c r="Q1" s="312"/>
      <c r="R1" s="312"/>
      <c r="S1" s="312"/>
      <c r="T1" s="312"/>
      <c r="U1" s="312"/>
      <c r="V1" s="312"/>
      <c r="Y1" s="73">
        <v>22</v>
      </c>
      <c r="AA1" s="96"/>
      <c r="AB1" s="96"/>
    </row>
    <row r="2" spans="1:30" s="155" customFormat="1" ht="15.75" customHeight="1">
      <c r="A2" s="170"/>
      <c r="B2" s="71"/>
      <c r="C2" s="72"/>
      <c r="D2" s="72"/>
      <c r="E2" s="224" t="s">
        <v>362</v>
      </c>
      <c r="F2" s="224"/>
      <c r="G2" s="224"/>
      <c r="H2" s="313" t="s">
        <v>137</v>
      </c>
      <c r="I2" s="313"/>
      <c r="J2" s="313"/>
      <c r="K2" s="313"/>
      <c r="L2" s="313"/>
      <c r="M2" s="313"/>
      <c r="N2" s="313"/>
      <c r="O2" s="313"/>
      <c r="P2" s="313" t="s">
        <v>138</v>
      </c>
      <c r="Q2" s="313"/>
      <c r="R2" s="313"/>
      <c r="S2" s="313"/>
      <c r="T2" s="313"/>
      <c r="U2" s="313"/>
      <c r="V2" s="297" t="s">
        <v>139</v>
      </c>
      <c r="W2" s="297"/>
      <c r="X2" s="297"/>
      <c r="Y2" s="153">
        <v>5</v>
      </c>
      <c r="Z2" s="84"/>
      <c r="AA2" s="96"/>
      <c r="AB2" s="96"/>
    </row>
    <row r="3" spans="1:30" s="155" customFormat="1" ht="12.95" customHeight="1">
      <c r="A3" s="170"/>
      <c r="B3" s="307" t="s">
        <v>135</v>
      </c>
      <c r="C3" s="248" t="s">
        <v>140</v>
      </c>
      <c r="D3" s="248" t="s">
        <v>141</v>
      </c>
      <c r="E3" s="249" t="s">
        <v>142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9" t="s">
        <v>143</v>
      </c>
      <c r="R3" s="250"/>
      <c r="S3" s="251"/>
      <c r="T3" s="249" t="s">
        <v>144</v>
      </c>
      <c r="U3" s="250"/>
      <c r="V3" s="250"/>
      <c r="W3" s="250"/>
      <c r="X3" s="251"/>
      <c r="Y3" s="248" t="s">
        <v>145</v>
      </c>
      <c r="Z3" s="84"/>
      <c r="AA3" s="96"/>
      <c r="AB3" s="96"/>
    </row>
    <row r="4" spans="1:30" s="155" customFormat="1" ht="12.95" customHeight="1">
      <c r="A4" s="170"/>
      <c r="B4" s="308"/>
      <c r="C4" s="310"/>
      <c r="D4" s="310"/>
      <c r="E4" s="244" t="s">
        <v>86</v>
      </c>
      <c r="F4" s="246" t="s">
        <v>39</v>
      </c>
      <c r="G4" s="227" t="s">
        <v>47</v>
      </c>
      <c r="H4" s="246" t="s">
        <v>39</v>
      </c>
      <c r="I4" s="227" t="s">
        <v>47</v>
      </c>
      <c r="J4" s="249" t="s">
        <v>41</v>
      </c>
      <c r="K4" s="250"/>
      <c r="L4" s="250"/>
      <c r="M4" s="250"/>
      <c r="N4" s="250"/>
      <c r="O4" s="250"/>
      <c r="P4" s="251"/>
      <c r="Q4" s="248" t="s">
        <v>146</v>
      </c>
      <c r="R4" s="248" t="s">
        <v>147</v>
      </c>
      <c r="S4" s="248" t="s">
        <v>148</v>
      </c>
      <c r="T4" s="248" t="s">
        <v>149</v>
      </c>
      <c r="U4" s="248" t="s">
        <v>150</v>
      </c>
      <c r="V4" s="248" t="s">
        <v>151</v>
      </c>
      <c r="W4" s="248" t="s">
        <v>152</v>
      </c>
      <c r="X4" s="248" t="s">
        <v>153</v>
      </c>
      <c r="Y4" s="310"/>
      <c r="Z4" s="84"/>
      <c r="AA4" s="96"/>
      <c r="AB4" s="96"/>
    </row>
    <row r="5" spans="1:30" s="155" customFormat="1" ht="12.95" customHeight="1">
      <c r="A5" s="170"/>
      <c r="B5" s="308"/>
      <c r="C5" s="310"/>
      <c r="D5" s="310"/>
      <c r="E5" s="244"/>
      <c r="F5" s="246"/>
      <c r="G5" s="227"/>
      <c r="H5" s="246"/>
      <c r="I5" s="227"/>
      <c r="J5" s="227" t="s">
        <v>95</v>
      </c>
      <c r="K5" s="227" t="s">
        <v>42</v>
      </c>
      <c r="L5" s="227" t="s">
        <v>43</v>
      </c>
      <c r="M5" s="227" t="s">
        <v>44</v>
      </c>
      <c r="N5" s="227" t="s">
        <v>45</v>
      </c>
      <c r="O5" s="234" t="s">
        <v>96</v>
      </c>
      <c r="P5" s="227" t="s">
        <v>46</v>
      </c>
      <c r="Q5" s="310"/>
      <c r="R5" s="310"/>
      <c r="S5" s="310"/>
      <c r="T5" s="310"/>
      <c r="U5" s="310"/>
      <c r="V5" s="310"/>
      <c r="W5" s="310"/>
      <c r="X5" s="310"/>
      <c r="Y5" s="310"/>
      <c r="Z5" s="84"/>
      <c r="AA5" s="96"/>
      <c r="AB5" s="96"/>
    </row>
    <row r="6" spans="1:30" s="155" customFormat="1" ht="12.95" customHeight="1">
      <c r="A6" s="170"/>
      <c r="B6" s="308"/>
      <c r="C6" s="310"/>
      <c r="D6" s="310"/>
      <c r="E6" s="244"/>
      <c r="F6" s="246"/>
      <c r="G6" s="227"/>
      <c r="H6" s="246"/>
      <c r="I6" s="227"/>
      <c r="J6" s="227"/>
      <c r="K6" s="227"/>
      <c r="L6" s="227"/>
      <c r="M6" s="227"/>
      <c r="N6" s="227"/>
      <c r="O6" s="234"/>
      <c r="P6" s="227"/>
      <c r="Q6" s="310"/>
      <c r="R6" s="310"/>
      <c r="S6" s="310"/>
      <c r="T6" s="311"/>
      <c r="U6" s="311"/>
      <c r="V6" s="311"/>
      <c r="W6" s="311"/>
      <c r="X6" s="311"/>
      <c r="Y6" s="310"/>
      <c r="Z6" s="84"/>
      <c r="AA6" s="96"/>
      <c r="AB6" s="96"/>
    </row>
    <row r="7" spans="1:30" s="155" customFormat="1" ht="12.95" customHeight="1">
      <c r="A7" s="170"/>
      <c r="B7" s="309"/>
      <c r="C7" s="311"/>
      <c r="D7" s="311"/>
      <c r="E7" s="245"/>
      <c r="F7" s="247"/>
      <c r="G7" s="227"/>
      <c r="H7" s="246"/>
      <c r="I7" s="248"/>
      <c r="J7" s="227"/>
      <c r="K7" s="227"/>
      <c r="L7" s="227"/>
      <c r="M7" s="227"/>
      <c r="N7" s="227"/>
      <c r="O7" s="234"/>
      <c r="P7" s="227"/>
      <c r="Q7" s="311"/>
      <c r="R7" s="311"/>
      <c r="S7" s="311"/>
      <c r="T7" s="152">
        <v>5</v>
      </c>
      <c r="U7" s="152">
        <v>4</v>
      </c>
      <c r="V7" s="152">
        <v>3</v>
      </c>
      <c r="W7" s="152">
        <v>2</v>
      </c>
      <c r="X7" s="152">
        <v>1</v>
      </c>
      <c r="Y7" s="311"/>
      <c r="Z7" s="84"/>
      <c r="AA7" s="96"/>
      <c r="AB7" s="96"/>
    </row>
    <row r="8" spans="1:30" ht="12.95" customHeight="1">
      <c r="A8" s="153">
        <v>269</v>
      </c>
      <c r="B8" s="264">
        <v>43808</v>
      </c>
      <c r="C8" s="228" t="s">
        <v>97</v>
      </c>
      <c r="D8" s="228" t="s">
        <v>98</v>
      </c>
      <c r="E8" s="267" t="s">
        <v>263</v>
      </c>
      <c r="F8" s="117" t="s">
        <v>55</v>
      </c>
      <c r="G8" s="75">
        <v>13</v>
      </c>
      <c r="H8" s="197" t="s">
        <v>424</v>
      </c>
      <c r="I8" s="75">
        <v>8</v>
      </c>
      <c r="J8" s="231">
        <v>5.6</v>
      </c>
      <c r="K8" s="231">
        <v>2</v>
      </c>
      <c r="L8" s="231">
        <v>1</v>
      </c>
      <c r="M8" s="231">
        <v>2</v>
      </c>
      <c r="N8" s="231">
        <v>0</v>
      </c>
      <c r="O8" s="231">
        <v>2.5</v>
      </c>
      <c r="P8" s="231">
        <f>SUM(J8*70+K8*75+L8*120+M8*25+N8*60+O8*45)</f>
        <v>824.5</v>
      </c>
      <c r="Q8" s="228"/>
      <c r="R8" s="228"/>
      <c r="S8" s="228"/>
      <c r="T8" s="228"/>
      <c r="U8" s="228"/>
      <c r="V8" s="228"/>
      <c r="W8" s="228"/>
      <c r="X8" s="228"/>
      <c r="Y8" s="252" t="s">
        <v>423</v>
      </c>
      <c r="Z8" s="85"/>
      <c r="AA8" s="96"/>
      <c r="AB8" s="96"/>
    </row>
    <row r="9" spans="1:30" ht="12.95" customHeight="1">
      <c r="B9" s="265"/>
      <c r="C9" s="229"/>
      <c r="D9" s="229"/>
      <c r="E9" s="244"/>
      <c r="F9" s="146" t="s">
        <v>154</v>
      </c>
      <c r="G9" s="160">
        <f>ROUND(9.4*A8/1000,1)</f>
        <v>2.5</v>
      </c>
      <c r="H9" s="146"/>
      <c r="I9" s="146"/>
      <c r="J9" s="232"/>
      <c r="K9" s="232"/>
      <c r="L9" s="232"/>
      <c r="M9" s="232"/>
      <c r="N9" s="232"/>
      <c r="O9" s="232"/>
      <c r="P9" s="232"/>
      <c r="Q9" s="229"/>
      <c r="R9" s="229"/>
      <c r="S9" s="229"/>
      <c r="T9" s="229"/>
      <c r="U9" s="229"/>
      <c r="V9" s="229"/>
      <c r="W9" s="229"/>
      <c r="X9" s="229"/>
      <c r="Y9" s="253"/>
      <c r="Z9" s="85"/>
      <c r="AA9" s="96"/>
      <c r="AB9" s="96"/>
    </row>
    <row r="10" spans="1:30" ht="12.95" customHeight="1">
      <c r="B10" s="265"/>
      <c r="C10" s="229"/>
      <c r="D10" s="229"/>
      <c r="E10" s="245"/>
      <c r="F10" s="147" t="s">
        <v>56</v>
      </c>
      <c r="G10" s="147">
        <f>ROUND(1.3*A8/1000,1)</f>
        <v>0.3</v>
      </c>
      <c r="H10" s="147"/>
      <c r="I10" s="147"/>
      <c r="J10" s="232"/>
      <c r="K10" s="232"/>
      <c r="L10" s="232"/>
      <c r="M10" s="232"/>
      <c r="N10" s="232"/>
      <c r="O10" s="232"/>
      <c r="P10" s="232"/>
      <c r="Q10" s="230"/>
      <c r="R10" s="230"/>
      <c r="S10" s="230"/>
      <c r="T10" s="230"/>
      <c r="U10" s="230"/>
      <c r="V10" s="230"/>
      <c r="W10" s="230"/>
      <c r="X10" s="230"/>
      <c r="Y10" s="253"/>
      <c r="Z10" s="85"/>
      <c r="AA10" s="96"/>
      <c r="AB10" s="96"/>
    </row>
    <row r="11" spans="1:30" ht="12.95" customHeight="1">
      <c r="B11" s="265"/>
      <c r="C11" s="229"/>
      <c r="D11" s="229"/>
      <c r="E11" s="267" t="s">
        <v>264</v>
      </c>
      <c r="F11" s="146" t="s">
        <v>57</v>
      </c>
      <c r="G11" s="53">
        <f>ROUND(78*A8/1000,0)</f>
        <v>21</v>
      </c>
      <c r="H11" s="75"/>
      <c r="I11" s="75"/>
      <c r="J11" s="232"/>
      <c r="K11" s="232"/>
      <c r="L11" s="232"/>
      <c r="M11" s="232"/>
      <c r="N11" s="232"/>
      <c r="O11" s="232"/>
      <c r="P11" s="232"/>
      <c r="Q11" s="228"/>
      <c r="R11" s="228"/>
      <c r="S11" s="228"/>
      <c r="T11" s="228"/>
      <c r="U11" s="228"/>
      <c r="V11" s="228"/>
      <c r="W11" s="228"/>
      <c r="X11" s="228"/>
      <c r="Y11" s="253"/>
      <c r="AA11" s="96"/>
      <c r="AB11" s="96"/>
      <c r="AC11" s="96"/>
      <c r="AD11" s="143"/>
    </row>
    <row r="12" spans="1:30" ht="12.95" customHeight="1">
      <c r="B12" s="265"/>
      <c r="C12" s="229"/>
      <c r="D12" s="229"/>
      <c r="E12" s="244"/>
      <c r="F12" s="146" t="s">
        <v>58</v>
      </c>
      <c r="G12" s="78">
        <f>ROUND(5.8*A8/1000,1)</f>
        <v>1.6</v>
      </c>
      <c r="H12" s="146"/>
      <c r="I12" s="50"/>
      <c r="J12" s="232"/>
      <c r="K12" s="232"/>
      <c r="L12" s="232"/>
      <c r="M12" s="232"/>
      <c r="N12" s="232"/>
      <c r="O12" s="232"/>
      <c r="P12" s="232"/>
      <c r="Q12" s="229"/>
      <c r="R12" s="229"/>
      <c r="S12" s="229"/>
      <c r="T12" s="229"/>
      <c r="U12" s="229"/>
      <c r="V12" s="229"/>
      <c r="W12" s="229"/>
      <c r="X12" s="229"/>
      <c r="Y12" s="253"/>
      <c r="AA12" s="96"/>
      <c r="AB12" s="96"/>
      <c r="AC12" s="96"/>
      <c r="AD12" s="143"/>
    </row>
    <row r="13" spans="1:30" ht="12.95" customHeight="1">
      <c r="B13" s="265"/>
      <c r="C13" s="229"/>
      <c r="D13" s="229"/>
      <c r="E13" s="245"/>
      <c r="F13" s="198" t="s">
        <v>425</v>
      </c>
      <c r="G13" s="180">
        <v>1</v>
      </c>
      <c r="H13" s="147"/>
      <c r="I13" s="147"/>
      <c r="J13" s="232"/>
      <c r="K13" s="232"/>
      <c r="L13" s="232"/>
      <c r="M13" s="232"/>
      <c r="N13" s="232"/>
      <c r="O13" s="232"/>
      <c r="P13" s="232"/>
      <c r="Q13" s="230"/>
      <c r="R13" s="230"/>
      <c r="S13" s="230"/>
      <c r="T13" s="230"/>
      <c r="U13" s="230"/>
      <c r="V13" s="230"/>
      <c r="W13" s="230"/>
      <c r="X13" s="230"/>
      <c r="Y13" s="253"/>
      <c r="AA13" s="96"/>
      <c r="AB13" s="96"/>
      <c r="AC13" s="96"/>
      <c r="AD13" s="143"/>
    </row>
    <row r="14" spans="1:30" ht="12.95" customHeight="1">
      <c r="B14" s="265"/>
      <c r="C14" s="229"/>
      <c r="D14" s="229"/>
      <c r="E14" s="247" t="s">
        <v>104</v>
      </c>
      <c r="F14" s="145" t="s">
        <v>339</v>
      </c>
      <c r="G14" s="49">
        <f>80*A8/1000</f>
        <v>21.52</v>
      </c>
      <c r="H14" s="117"/>
      <c r="I14" s="117"/>
      <c r="J14" s="232"/>
      <c r="K14" s="232"/>
      <c r="L14" s="232"/>
      <c r="M14" s="232"/>
      <c r="N14" s="232"/>
      <c r="O14" s="232"/>
      <c r="P14" s="232"/>
      <c r="Q14" s="228"/>
      <c r="R14" s="228"/>
      <c r="S14" s="228"/>
      <c r="T14" s="228"/>
      <c r="U14" s="228"/>
      <c r="V14" s="228"/>
      <c r="W14" s="228"/>
      <c r="X14" s="228"/>
      <c r="Y14" s="253"/>
      <c r="AA14" s="96"/>
      <c r="AB14" s="96"/>
    </row>
    <row r="15" spans="1:30" ht="12.95" customHeight="1">
      <c r="B15" s="265"/>
      <c r="C15" s="229"/>
      <c r="D15" s="229"/>
      <c r="E15" s="244"/>
      <c r="F15" s="156" t="s">
        <v>340</v>
      </c>
      <c r="G15" s="146">
        <v>3</v>
      </c>
      <c r="H15" s="146"/>
      <c r="I15" s="146"/>
      <c r="J15" s="232"/>
      <c r="K15" s="232"/>
      <c r="L15" s="232"/>
      <c r="M15" s="232"/>
      <c r="N15" s="232"/>
      <c r="O15" s="232"/>
      <c r="P15" s="232"/>
      <c r="Q15" s="229"/>
      <c r="R15" s="229"/>
      <c r="S15" s="229"/>
      <c r="T15" s="229"/>
      <c r="U15" s="229"/>
      <c r="V15" s="229"/>
      <c r="W15" s="229"/>
      <c r="X15" s="229"/>
      <c r="Y15" s="253"/>
      <c r="AA15" s="96"/>
      <c r="AB15" s="96"/>
    </row>
    <row r="16" spans="1:30" ht="12.95" customHeight="1">
      <c r="B16" s="265"/>
      <c r="C16" s="229"/>
      <c r="D16" s="229"/>
      <c r="E16" s="245"/>
      <c r="F16" s="147"/>
      <c r="G16" s="147"/>
      <c r="H16" s="147"/>
      <c r="I16" s="147"/>
      <c r="J16" s="232"/>
      <c r="K16" s="232"/>
      <c r="L16" s="232"/>
      <c r="M16" s="232"/>
      <c r="N16" s="232"/>
      <c r="O16" s="232"/>
      <c r="P16" s="232"/>
      <c r="Q16" s="230"/>
      <c r="R16" s="230"/>
      <c r="S16" s="230"/>
      <c r="T16" s="230"/>
      <c r="U16" s="230"/>
      <c r="V16" s="230"/>
      <c r="W16" s="230"/>
      <c r="X16" s="230"/>
      <c r="Y16" s="253"/>
      <c r="AA16" s="96"/>
      <c r="AB16" s="96"/>
    </row>
    <row r="17" spans="1:35" ht="12.95" customHeight="1">
      <c r="B17" s="265"/>
      <c r="C17" s="229"/>
      <c r="D17" s="229"/>
      <c r="E17" s="267" t="s">
        <v>265</v>
      </c>
      <c r="F17" s="53" t="s">
        <v>179</v>
      </c>
      <c r="G17" s="53">
        <f>ROUND(40*A8/1000,0)</f>
        <v>11</v>
      </c>
      <c r="H17" s="53"/>
      <c r="I17" s="146"/>
      <c r="J17" s="232"/>
      <c r="K17" s="232"/>
      <c r="L17" s="232"/>
      <c r="M17" s="232"/>
      <c r="N17" s="232"/>
      <c r="O17" s="232"/>
      <c r="P17" s="232"/>
      <c r="Q17" s="228"/>
      <c r="R17" s="228"/>
      <c r="S17" s="228"/>
      <c r="T17" s="228"/>
      <c r="U17" s="228"/>
      <c r="V17" s="228"/>
      <c r="W17" s="228"/>
      <c r="X17" s="228"/>
      <c r="Y17" s="253"/>
      <c r="AA17" s="96"/>
      <c r="AB17" s="96"/>
    </row>
    <row r="18" spans="1:35" ht="12.95" customHeight="1">
      <c r="B18" s="265"/>
      <c r="C18" s="229"/>
      <c r="D18" s="229"/>
      <c r="E18" s="244"/>
      <c r="F18" s="48" t="s">
        <v>119</v>
      </c>
      <c r="G18" s="199">
        <v>1.2</v>
      </c>
      <c r="H18" s="48"/>
      <c r="I18" s="146"/>
      <c r="J18" s="232"/>
      <c r="K18" s="232"/>
      <c r="L18" s="232"/>
      <c r="M18" s="232"/>
      <c r="N18" s="232"/>
      <c r="O18" s="232"/>
      <c r="P18" s="232"/>
      <c r="Q18" s="229"/>
      <c r="R18" s="229"/>
      <c r="S18" s="229"/>
      <c r="T18" s="229"/>
      <c r="U18" s="229"/>
      <c r="V18" s="229"/>
      <c r="W18" s="229"/>
      <c r="X18" s="229"/>
      <c r="Y18" s="253"/>
      <c r="AA18" s="96"/>
      <c r="AB18" s="96"/>
    </row>
    <row r="19" spans="1:35" ht="12.95" customHeight="1">
      <c r="B19" s="266"/>
      <c r="C19" s="230"/>
      <c r="D19" s="229"/>
      <c r="E19" s="245"/>
      <c r="F19" s="54" t="s">
        <v>180</v>
      </c>
      <c r="G19" s="54">
        <f>ROUND(9.8*A8/1000,0)</f>
        <v>3</v>
      </c>
      <c r="H19" s="54"/>
      <c r="I19" s="54"/>
      <c r="J19" s="233"/>
      <c r="K19" s="233"/>
      <c r="L19" s="233"/>
      <c r="M19" s="233"/>
      <c r="N19" s="233"/>
      <c r="O19" s="233"/>
      <c r="P19" s="233"/>
      <c r="Q19" s="230"/>
      <c r="R19" s="230"/>
      <c r="S19" s="230"/>
      <c r="T19" s="230"/>
      <c r="U19" s="230"/>
      <c r="V19" s="230"/>
      <c r="W19" s="230"/>
      <c r="X19" s="230"/>
      <c r="Y19" s="254"/>
      <c r="AA19" s="96"/>
      <c r="AB19" s="96"/>
    </row>
    <row r="20" spans="1:35" s="68" customFormat="1" ht="12.75" customHeight="1">
      <c r="A20" s="177"/>
      <c r="B20" s="258" t="s">
        <v>37</v>
      </c>
      <c r="C20" s="259"/>
      <c r="D20" s="260"/>
      <c r="E20" s="279" t="s">
        <v>247</v>
      </c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3"/>
      <c r="AA20" s="96"/>
      <c r="AB20" s="96"/>
      <c r="AD20" s="153"/>
      <c r="AE20" s="153"/>
      <c r="AF20" s="153"/>
      <c r="AG20" s="153"/>
      <c r="AH20" s="153"/>
    </row>
    <row r="21" spans="1:35" ht="12.95" customHeight="1">
      <c r="A21" s="189">
        <v>269</v>
      </c>
      <c r="B21" s="264">
        <v>43809</v>
      </c>
      <c r="C21" s="228" t="s">
        <v>157</v>
      </c>
      <c r="D21" s="228" t="s">
        <v>368</v>
      </c>
      <c r="E21" s="267" t="s">
        <v>381</v>
      </c>
      <c r="F21" s="110" t="s">
        <v>382</v>
      </c>
      <c r="G21" s="94">
        <f>66*A21/1000</f>
        <v>17.754000000000001</v>
      </c>
      <c r="H21" s="116" t="s">
        <v>383</v>
      </c>
      <c r="I21" s="165">
        <f>ROUND(1*A21/1000,1)</f>
        <v>0.3</v>
      </c>
      <c r="J21" s="231">
        <v>5</v>
      </c>
      <c r="K21" s="231">
        <v>2.4</v>
      </c>
      <c r="L21" s="231">
        <v>0</v>
      </c>
      <c r="M21" s="231">
        <v>1.5</v>
      </c>
      <c r="N21" s="231">
        <v>0</v>
      </c>
      <c r="O21" s="231">
        <v>2.5</v>
      </c>
      <c r="P21" s="231">
        <f>SUM(J21*70+K21*75+L21*120+M21*25+N21*60+O21*45)</f>
        <v>680</v>
      </c>
      <c r="Q21" s="228"/>
      <c r="R21" s="228"/>
      <c r="S21" s="228"/>
      <c r="T21" s="228"/>
      <c r="U21" s="228"/>
      <c r="V21" s="228"/>
      <c r="W21" s="228"/>
      <c r="X21" s="228"/>
      <c r="Y21" s="228"/>
      <c r="AA21" s="96"/>
      <c r="AB21" s="96"/>
    </row>
    <row r="22" spans="1:35" ht="12.95" customHeight="1">
      <c r="A22" s="190"/>
      <c r="B22" s="265"/>
      <c r="C22" s="229"/>
      <c r="D22" s="229"/>
      <c r="E22" s="244"/>
      <c r="F22" s="95" t="s">
        <v>384</v>
      </c>
      <c r="G22" s="66">
        <f>25*A21/1000</f>
        <v>6.7249999999999996</v>
      </c>
      <c r="H22" s="146"/>
      <c r="I22" s="146"/>
      <c r="J22" s="232"/>
      <c r="K22" s="232"/>
      <c r="L22" s="232"/>
      <c r="M22" s="232"/>
      <c r="N22" s="232"/>
      <c r="O22" s="232"/>
      <c r="P22" s="232"/>
      <c r="Q22" s="229"/>
      <c r="R22" s="229"/>
      <c r="S22" s="229"/>
      <c r="T22" s="229"/>
      <c r="U22" s="229"/>
      <c r="V22" s="229"/>
      <c r="W22" s="229"/>
      <c r="X22" s="229"/>
      <c r="Y22" s="229"/>
      <c r="AA22" s="96"/>
      <c r="AB22" s="96"/>
    </row>
    <row r="23" spans="1:35" ht="12.95" customHeight="1">
      <c r="A23" s="190"/>
      <c r="B23" s="265"/>
      <c r="C23" s="229"/>
      <c r="D23" s="229"/>
      <c r="E23" s="245"/>
      <c r="F23" s="111" t="s">
        <v>385</v>
      </c>
      <c r="G23" s="86">
        <f>10*A21/1000</f>
        <v>2.69</v>
      </c>
      <c r="H23" s="154"/>
      <c r="I23" s="147"/>
      <c r="J23" s="232"/>
      <c r="K23" s="232"/>
      <c r="L23" s="232"/>
      <c r="M23" s="232"/>
      <c r="N23" s="232"/>
      <c r="O23" s="232"/>
      <c r="P23" s="232"/>
      <c r="Q23" s="230"/>
      <c r="R23" s="230"/>
      <c r="S23" s="230"/>
      <c r="T23" s="230"/>
      <c r="U23" s="230"/>
      <c r="V23" s="230"/>
      <c r="W23" s="230"/>
      <c r="X23" s="230"/>
      <c r="Y23" s="229"/>
      <c r="AA23" s="96"/>
      <c r="AB23" s="96"/>
    </row>
    <row r="24" spans="1:35" ht="12.95" customHeight="1">
      <c r="A24" s="190"/>
      <c r="B24" s="265"/>
      <c r="C24" s="229"/>
      <c r="D24" s="229"/>
      <c r="E24" s="267" t="s">
        <v>386</v>
      </c>
      <c r="F24" s="117" t="s">
        <v>72</v>
      </c>
      <c r="G24" s="117">
        <f>ROUND(53.5*A21/1000,1)</f>
        <v>14.4</v>
      </c>
      <c r="H24" s="146" t="s">
        <v>120</v>
      </c>
      <c r="I24" s="179" t="s">
        <v>387</v>
      </c>
      <c r="J24" s="232"/>
      <c r="K24" s="232"/>
      <c r="L24" s="232"/>
      <c r="M24" s="232"/>
      <c r="N24" s="232"/>
      <c r="O24" s="232"/>
      <c r="P24" s="232"/>
      <c r="Q24" s="228"/>
      <c r="R24" s="228"/>
      <c r="S24" s="228"/>
      <c r="T24" s="228"/>
      <c r="U24" s="228"/>
      <c r="V24" s="228"/>
      <c r="W24" s="228"/>
      <c r="X24" s="228"/>
      <c r="Y24" s="229"/>
      <c r="AA24" s="96"/>
      <c r="AB24" s="96"/>
    </row>
    <row r="25" spans="1:35" ht="12.95" customHeight="1">
      <c r="A25" s="190"/>
      <c r="B25" s="265"/>
      <c r="C25" s="229"/>
      <c r="D25" s="229"/>
      <c r="E25" s="244"/>
      <c r="F25" s="146" t="s">
        <v>121</v>
      </c>
      <c r="G25" s="146">
        <f>ROUND(10*A21/1000,0)</f>
        <v>3</v>
      </c>
      <c r="I25" s="146"/>
      <c r="J25" s="232"/>
      <c r="K25" s="232"/>
      <c r="L25" s="232"/>
      <c r="M25" s="232"/>
      <c r="N25" s="232"/>
      <c r="O25" s="232"/>
      <c r="P25" s="232"/>
      <c r="Q25" s="229"/>
      <c r="R25" s="229"/>
      <c r="S25" s="229"/>
      <c r="T25" s="229"/>
      <c r="U25" s="229"/>
      <c r="V25" s="229"/>
      <c r="W25" s="229"/>
      <c r="X25" s="229"/>
      <c r="Y25" s="229"/>
      <c r="AA25" s="96"/>
      <c r="AB25" s="96"/>
    </row>
    <row r="26" spans="1:35" ht="12.95" customHeight="1">
      <c r="A26" s="190"/>
      <c r="B26" s="265"/>
      <c r="C26" s="229"/>
      <c r="D26" s="229"/>
      <c r="E26" s="245"/>
      <c r="F26" s="147" t="s">
        <v>50</v>
      </c>
      <c r="G26" s="147">
        <f>ROUND(9*A21/1000,0)</f>
        <v>2</v>
      </c>
      <c r="H26" s="180"/>
      <c r="I26" s="147"/>
      <c r="J26" s="232"/>
      <c r="K26" s="232"/>
      <c r="L26" s="232"/>
      <c r="M26" s="232"/>
      <c r="N26" s="232"/>
      <c r="O26" s="232"/>
      <c r="P26" s="232"/>
      <c r="Q26" s="230"/>
      <c r="R26" s="230"/>
      <c r="S26" s="230"/>
      <c r="T26" s="230"/>
      <c r="U26" s="230"/>
      <c r="V26" s="230"/>
      <c r="W26" s="230"/>
      <c r="X26" s="230"/>
      <c r="Y26" s="229"/>
      <c r="AA26" s="96"/>
      <c r="AB26" s="96"/>
    </row>
    <row r="27" spans="1:35" ht="12.95" customHeight="1">
      <c r="A27" s="190"/>
      <c r="B27" s="265"/>
      <c r="C27" s="229"/>
      <c r="D27" s="229"/>
      <c r="E27" s="247" t="s">
        <v>158</v>
      </c>
      <c r="F27" s="145" t="s">
        <v>341</v>
      </c>
      <c r="G27" s="49">
        <v>21.52</v>
      </c>
      <c r="H27" s="117"/>
      <c r="I27" s="117"/>
      <c r="J27" s="232"/>
      <c r="K27" s="232"/>
      <c r="L27" s="232"/>
      <c r="M27" s="232"/>
      <c r="N27" s="232"/>
      <c r="O27" s="232"/>
      <c r="P27" s="232"/>
      <c r="Q27" s="228"/>
      <c r="R27" s="228"/>
      <c r="S27" s="228"/>
      <c r="T27" s="228"/>
      <c r="U27" s="228"/>
      <c r="V27" s="228"/>
      <c r="W27" s="228"/>
      <c r="X27" s="228"/>
      <c r="Y27" s="229"/>
      <c r="AA27" s="96"/>
      <c r="AB27" s="96"/>
      <c r="AC27" s="96"/>
      <c r="AD27" s="96"/>
      <c r="AE27" s="96"/>
      <c r="AF27" s="96"/>
      <c r="AG27" s="96"/>
      <c r="AH27" s="96"/>
      <c r="AI27" s="96"/>
    </row>
    <row r="28" spans="1:35" ht="12.95" customHeight="1">
      <c r="A28" s="190"/>
      <c r="B28" s="265"/>
      <c r="C28" s="229"/>
      <c r="D28" s="229"/>
      <c r="E28" s="244"/>
      <c r="F28" s="156" t="s">
        <v>342</v>
      </c>
      <c r="G28" s="156" t="s">
        <v>343</v>
      </c>
      <c r="H28" s="146"/>
      <c r="I28" s="146"/>
      <c r="J28" s="232"/>
      <c r="K28" s="232"/>
      <c r="L28" s="232"/>
      <c r="M28" s="232"/>
      <c r="N28" s="232"/>
      <c r="O28" s="232"/>
      <c r="P28" s="232"/>
      <c r="Q28" s="229"/>
      <c r="R28" s="229"/>
      <c r="S28" s="229"/>
      <c r="T28" s="229"/>
      <c r="U28" s="229"/>
      <c r="V28" s="229"/>
      <c r="W28" s="229"/>
      <c r="X28" s="229"/>
      <c r="Y28" s="229"/>
      <c r="AA28" s="96"/>
      <c r="AB28" s="96"/>
      <c r="AC28" s="96"/>
      <c r="AD28" s="96"/>
      <c r="AE28" s="96"/>
      <c r="AF28" s="96"/>
      <c r="AG28" s="96"/>
      <c r="AH28" s="96"/>
      <c r="AI28" s="96"/>
    </row>
    <row r="29" spans="1:35" ht="12.95" customHeight="1">
      <c r="A29" s="190"/>
      <c r="B29" s="265"/>
      <c r="C29" s="229"/>
      <c r="D29" s="229"/>
      <c r="E29" s="245"/>
      <c r="F29" s="147"/>
      <c r="G29" s="147"/>
      <c r="H29" s="147"/>
      <c r="I29" s="147"/>
      <c r="J29" s="232"/>
      <c r="K29" s="232"/>
      <c r="L29" s="232"/>
      <c r="M29" s="232"/>
      <c r="N29" s="232"/>
      <c r="O29" s="232"/>
      <c r="P29" s="232"/>
      <c r="Q29" s="230"/>
      <c r="R29" s="230"/>
      <c r="S29" s="230"/>
      <c r="T29" s="230"/>
      <c r="U29" s="230"/>
      <c r="V29" s="230"/>
      <c r="W29" s="230"/>
      <c r="X29" s="230"/>
      <c r="Y29" s="229"/>
      <c r="AA29" s="96"/>
      <c r="AB29" s="96"/>
      <c r="AC29" s="96"/>
      <c r="AD29" s="96"/>
      <c r="AE29" s="96"/>
      <c r="AF29" s="96"/>
      <c r="AG29" s="96"/>
      <c r="AH29" s="96"/>
      <c r="AI29" s="96"/>
    </row>
    <row r="30" spans="1:35" ht="12.95" customHeight="1">
      <c r="A30" s="190"/>
      <c r="B30" s="265"/>
      <c r="C30" s="229"/>
      <c r="D30" s="229"/>
      <c r="E30" s="304" t="s">
        <v>426</v>
      </c>
      <c r="F30" s="197" t="s">
        <v>427</v>
      </c>
      <c r="G30" s="75">
        <v>6</v>
      </c>
      <c r="H30" s="53"/>
      <c r="I30" s="53"/>
      <c r="J30" s="232"/>
      <c r="K30" s="232"/>
      <c r="L30" s="232"/>
      <c r="M30" s="232"/>
      <c r="N30" s="232"/>
      <c r="O30" s="232"/>
      <c r="P30" s="232"/>
      <c r="Q30" s="228"/>
      <c r="R30" s="228"/>
      <c r="S30" s="228"/>
      <c r="T30" s="228"/>
      <c r="U30" s="228"/>
      <c r="V30" s="228"/>
      <c r="W30" s="228"/>
      <c r="X30" s="228"/>
      <c r="Y30" s="229"/>
      <c r="AA30" s="96"/>
      <c r="AB30" s="96"/>
      <c r="AC30" s="96"/>
      <c r="AD30" s="96"/>
      <c r="AE30" s="96"/>
      <c r="AF30" s="96"/>
      <c r="AG30" s="96"/>
      <c r="AH30" s="96"/>
      <c r="AI30" s="96"/>
    </row>
    <row r="31" spans="1:35" ht="12.95" customHeight="1">
      <c r="A31" s="190"/>
      <c r="B31" s="265"/>
      <c r="C31" s="229"/>
      <c r="D31" s="229"/>
      <c r="E31" s="305"/>
      <c r="F31" s="196" t="s">
        <v>428</v>
      </c>
      <c r="G31" s="204">
        <v>0.1</v>
      </c>
      <c r="H31" s="48"/>
      <c r="I31" s="48"/>
      <c r="J31" s="232"/>
      <c r="K31" s="232"/>
      <c r="L31" s="232"/>
      <c r="M31" s="232"/>
      <c r="N31" s="232"/>
      <c r="O31" s="232"/>
      <c r="P31" s="232"/>
      <c r="Q31" s="229"/>
      <c r="R31" s="229"/>
      <c r="S31" s="229"/>
      <c r="T31" s="229"/>
      <c r="U31" s="229"/>
      <c r="V31" s="229"/>
      <c r="W31" s="229"/>
      <c r="X31" s="229"/>
      <c r="Y31" s="229"/>
      <c r="AA31" s="96"/>
      <c r="AB31" s="96"/>
      <c r="AC31" s="96"/>
      <c r="AD31" s="96"/>
      <c r="AE31" s="96"/>
      <c r="AF31" s="96"/>
      <c r="AG31" s="96"/>
      <c r="AH31" s="96"/>
      <c r="AI31" s="96"/>
    </row>
    <row r="32" spans="1:35" ht="12.95" customHeight="1">
      <c r="A32" s="190"/>
      <c r="B32" s="266"/>
      <c r="C32" s="230"/>
      <c r="D32" s="229"/>
      <c r="E32" s="306"/>
      <c r="F32" s="194" t="s">
        <v>315</v>
      </c>
      <c r="G32" s="205">
        <v>3</v>
      </c>
      <c r="H32" s="54"/>
      <c r="I32" s="54"/>
      <c r="J32" s="233"/>
      <c r="K32" s="233"/>
      <c r="L32" s="233"/>
      <c r="M32" s="233"/>
      <c r="N32" s="233"/>
      <c r="O32" s="233"/>
      <c r="P32" s="233"/>
      <c r="Q32" s="230"/>
      <c r="R32" s="230"/>
      <c r="S32" s="230"/>
      <c r="T32" s="230"/>
      <c r="U32" s="230"/>
      <c r="V32" s="230"/>
      <c r="W32" s="230"/>
      <c r="X32" s="230"/>
      <c r="Y32" s="230"/>
      <c r="AA32" s="96"/>
      <c r="AB32" s="96"/>
      <c r="AC32" s="96"/>
      <c r="AD32" s="96"/>
      <c r="AE32" s="96"/>
      <c r="AF32" s="96"/>
      <c r="AG32" s="96"/>
      <c r="AH32" s="96"/>
      <c r="AI32" s="96"/>
    </row>
    <row r="33" spans="1:35" s="68" customFormat="1" ht="12.95" customHeight="1">
      <c r="A33" s="191"/>
      <c r="B33" s="258" t="s">
        <v>37</v>
      </c>
      <c r="C33" s="259"/>
      <c r="D33" s="260"/>
      <c r="E33" s="279" t="s">
        <v>392</v>
      </c>
      <c r="F33" s="262"/>
      <c r="G33" s="262"/>
      <c r="H33" s="262"/>
      <c r="I33" s="262"/>
      <c r="J33" s="280"/>
      <c r="K33" s="280"/>
      <c r="L33" s="280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3"/>
      <c r="AA33" s="96"/>
      <c r="AB33" s="96"/>
      <c r="AC33" s="96"/>
      <c r="AD33" s="96"/>
      <c r="AE33" s="96"/>
      <c r="AF33" s="96"/>
      <c r="AG33" s="96"/>
      <c r="AH33" s="96"/>
      <c r="AI33" s="96"/>
    </row>
    <row r="34" spans="1:35" ht="12.95" customHeight="1">
      <c r="A34" s="189">
        <v>269</v>
      </c>
      <c r="B34" s="264">
        <v>43810</v>
      </c>
      <c r="C34" s="228" t="s">
        <v>165</v>
      </c>
      <c r="D34" s="228" t="s">
        <v>166</v>
      </c>
      <c r="E34" s="255" t="s">
        <v>267</v>
      </c>
      <c r="F34" s="197" t="s">
        <v>324</v>
      </c>
      <c r="G34" s="117">
        <f>ROUND(16.8*A34/1000,0)</f>
        <v>5</v>
      </c>
      <c r="H34" s="98" t="s">
        <v>167</v>
      </c>
      <c r="I34" s="49">
        <f>ROUND(10*A34/1000,1)</f>
        <v>2.7</v>
      </c>
      <c r="J34" s="231">
        <v>5.2</v>
      </c>
      <c r="K34" s="231">
        <v>1</v>
      </c>
      <c r="L34" s="231">
        <v>0</v>
      </c>
      <c r="M34" s="231">
        <v>1.3</v>
      </c>
      <c r="N34" s="231">
        <v>1</v>
      </c>
      <c r="O34" s="231">
        <v>2.5</v>
      </c>
      <c r="P34" s="231">
        <f>K34*75+J34*70+L34*120+M34*25+N34*60+O34*45</f>
        <v>644</v>
      </c>
      <c r="Q34" s="228"/>
      <c r="R34" s="228"/>
      <c r="S34" s="228"/>
      <c r="T34" s="228"/>
      <c r="U34" s="228"/>
      <c r="V34" s="228"/>
      <c r="W34" s="228"/>
      <c r="X34" s="228"/>
      <c r="Y34" s="228"/>
      <c r="AA34" s="96"/>
      <c r="AB34" s="96"/>
      <c r="AC34" s="96"/>
      <c r="AD34" s="96"/>
      <c r="AE34" s="96"/>
      <c r="AF34" s="96"/>
      <c r="AG34" s="96"/>
      <c r="AH34" s="96"/>
      <c r="AI34" s="96"/>
    </row>
    <row r="35" spans="1:35" ht="12.95" customHeight="1">
      <c r="A35" s="190"/>
      <c r="B35" s="265"/>
      <c r="C35" s="229"/>
      <c r="D35" s="229"/>
      <c r="E35" s="302"/>
      <c r="F35" s="146" t="s">
        <v>168</v>
      </c>
      <c r="G35" s="50">
        <f>ROUND(6.25*A34/1000,1)</f>
        <v>1.7</v>
      </c>
      <c r="H35" s="59" t="s">
        <v>169</v>
      </c>
      <c r="I35" s="200">
        <v>7</v>
      </c>
      <c r="J35" s="232"/>
      <c r="K35" s="232"/>
      <c r="L35" s="232"/>
      <c r="M35" s="232"/>
      <c r="N35" s="232"/>
      <c r="O35" s="232"/>
      <c r="P35" s="232"/>
      <c r="Q35" s="229"/>
      <c r="R35" s="229"/>
      <c r="S35" s="229"/>
      <c r="T35" s="229"/>
      <c r="U35" s="229"/>
      <c r="V35" s="229"/>
      <c r="W35" s="229"/>
      <c r="X35" s="229"/>
      <c r="Y35" s="229"/>
      <c r="AA35" s="96"/>
      <c r="AB35" s="96"/>
      <c r="AC35" s="96"/>
      <c r="AD35" s="96"/>
      <c r="AE35" s="96"/>
      <c r="AF35" s="96"/>
      <c r="AG35" s="96"/>
      <c r="AH35" s="96"/>
      <c r="AI35" s="96"/>
    </row>
    <row r="36" spans="1:35" ht="12.95" customHeight="1">
      <c r="A36" s="190"/>
      <c r="B36" s="265"/>
      <c r="C36" s="229"/>
      <c r="D36" s="229"/>
      <c r="E36" s="303"/>
      <c r="F36" s="156" t="s">
        <v>344</v>
      </c>
      <c r="G36" s="50">
        <f>ROUND(6.25*A34/1000,1)</f>
        <v>1.7</v>
      </c>
      <c r="H36" s="154" t="s">
        <v>170</v>
      </c>
      <c r="I36" s="147">
        <f>ROUND(28*A34/1000,0)</f>
        <v>8</v>
      </c>
      <c r="J36" s="232"/>
      <c r="K36" s="232"/>
      <c r="L36" s="232"/>
      <c r="M36" s="232"/>
      <c r="N36" s="232"/>
      <c r="O36" s="232"/>
      <c r="P36" s="232"/>
      <c r="Q36" s="230"/>
      <c r="R36" s="230"/>
      <c r="S36" s="230"/>
      <c r="T36" s="230"/>
      <c r="U36" s="230"/>
      <c r="V36" s="230"/>
      <c r="W36" s="230"/>
      <c r="X36" s="230"/>
      <c r="Y36" s="229"/>
      <c r="AA36" s="96"/>
      <c r="AB36" s="96"/>
      <c r="AC36" s="96"/>
      <c r="AD36" s="96"/>
      <c r="AE36" s="96"/>
      <c r="AF36" s="96"/>
      <c r="AG36" s="96"/>
      <c r="AH36" s="96"/>
      <c r="AI36" s="96"/>
    </row>
    <row r="37" spans="1:35" ht="12.95" customHeight="1">
      <c r="A37" s="190"/>
      <c r="B37" s="265"/>
      <c r="C37" s="229"/>
      <c r="D37" s="229"/>
      <c r="E37" s="247" t="s">
        <v>115</v>
      </c>
      <c r="F37" s="145" t="s">
        <v>341</v>
      </c>
      <c r="G37" s="49">
        <v>21.52</v>
      </c>
      <c r="H37" s="59"/>
      <c r="I37" s="146"/>
      <c r="J37" s="232"/>
      <c r="K37" s="232"/>
      <c r="L37" s="232"/>
      <c r="M37" s="232"/>
      <c r="N37" s="232"/>
      <c r="O37" s="232"/>
      <c r="P37" s="232"/>
      <c r="Q37" s="228"/>
      <c r="R37" s="228"/>
      <c r="S37" s="228"/>
      <c r="T37" s="228"/>
      <c r="U37" s="228"/>
      <c r="V37" s="228"/>
      <c r="W37" s="228"/>
      <c r="X37" s="228"/>
      <c r="Y37" s="229"/>
      <c r="AA37" s="96"/>
      <c r="AB37" s="96"/>
      <c r="AC37" s="96"/>
      <c r="AD37" s="96"/>
      <c r="AE37" s="96"/>
      <c r="AF37" s="96"/>
      <c r="AG37" s="96"/>
      <c r="AH37" s="96"/>
      <c r="AI37" s="96"/>
    </row>
    <row r="38" spans="1:35" ht="12.95" customHeight="1">
      <c r="A38" s="190"/>
      <c r="B38" s="265"/>
      <c r="C38" s="229"/>
      <c r="D38" s="229"/>
      <c r="E38" s="244"/>
      <c r="F38" s="156" t="s">
        <v>342</v>
      </c>
      <c r="G38" s="156" t="s">
        <v>343</v>
      </c>
      <c r="H38" s="59"/>
      <c r="I38" s="58"/>
      <c r="J38" s="232"/>
      <c r="K38" s="232"/>
      <c r="L38" s="232"/>
      <c r="M38" s="232"/>
      <c r="N38" s="232"/>
      <c r="O38" s="232"/>
      <c r="P38" s="232"/>
      <c r="Q38" s="229"/>
      <c r="R38" s="229"/>
      <c r="S38" s="229"/>
      <c r="T38" s="229"/>
      <c r="U38" s="229"/>
      <c r="V38" s="229"/>
      <c r="W38" s="229"/>
      <c r="X38" s="229"/>
      <c r="Y38" s="229"/>
      <c r="AA38" s="96"/>
      <c r="AB38" s="96"/>
      <c r="AC38" s="96"/>
      <c r="AD38" s="96"/>
      <c r="AE38" s="96"/>
      <c r="AF38" s="96"/>
      <c r="AG38" s="96"/>
      <c r="AH38" s="96"/>
      <c r="AI38" s="96"/>
    </row>
    <row r="39" spans="1:35" ht="12.95" customHeight="1">
      <c r="A39" s="190"/>
      <c r="B39" s="265"/>
      <c r="C39" s="229"/>
      <c r="D39" s="229"/>
      <c r="E39" s="245"/>
      <c r="F39" s="147"/>
      <c r="G39" s="147"/>
      <c r="H39" s="147"/>
      <c r="I39" s="147"/>
      <c r="J39" s="232"/>
      <c r="K39" s="232"/>
      <c r="L39" s="232"/>
      <c r="M39" s="232"/>
      <c r="N39" s="232"/>
      <c r="O39" s="232"/>
      <c r="P39" s="232"/>
      <c r="Q39" s="230"/>
      <c r="R39" s="230"/>
      <c r="S39" s="230"/>
      <c r="T39" s="230"/>
      <c r="U39" s="230"/>
      <c r="V39" s="230"/>
      <c r="W39" s="230"/>
      <c r="X39" s="230"/>
      <c r="Y39" s="229"/>
      <c r="AA39" s="96"/>
      <c r="AB39" s="96"/>
      <c r="AC39" s="96"/>
      <c r="AD39" s="96"/>
      <c r="AE39" s="96"/>
      <c r="AF39" s="96"/>
      <c r="AG39" s="96"/>
      <c r="AH39" s="96"/>
      <c r="AI39" s="96"/>
    </row>
    <row r="40" spans="1:35" ht="12.95" customHeight="1">
      <c r="A40" s="190"/>
      <c r="B40" s="265"/>
      <c r="C40" s="229"/>
      <c r="D40" s="229"/>
      <c r="E40" s="267" t="s">
        <v>268</v>
      </c>
      <c r="F40" s="53" t="s">
        <v>126</v>
      </c>
      <c r="G40" s="75">
        <v>5</v>
      </c>
      <c r="H40" s="101"/>
      <c r="I40" s="146"/>
      <c r="J40" s="232"/>
      <c r="K40" s="232"/>
      <c r="L40" s="232"/>
      <c r="M40" s="232"/>
      <c r="N40" s="232"/>
      <c r="O40" s="232"/>
      <c r="P40" s="232"/>
      <c r="Q40" s="228"/>
      <c r="R40" s="228"/>
      <c r="S40" s="228"/>
      <c r="T40" s="228"/>
      <c r="U40" s="228"/>
      <c r="V40" s="228"/>
      <c r="W40" s="228"/>
      <c r="X40" s="228"/>
      <c r="Y40" s="229"/>
      <c r="AA40" s="96"/>
      <c r="AB40" s="96"/>
      <c r="AC40" s="96"/>
      <c r="AD40" s="96"/>
      <c r="AE40" s="96"/>
      <c r="AF40" s="96"/>
      <c r="AG40" s="96"/>
      <c r="AH40" s="96"/>
      <c r="AI40" s="96"/>
    </row>
    <row r="41" spans="1:35" ht="12.95" customHeight="1">
      <c r="A41" s="190"/>
      <c r="B41" s="265"/>
      <c r="C41" s="229"/>
      <c r="D41" s="229"/>
      <c r="E41" s="244"/>
      <c r="F41" s="48" t="s">
        <v>171</v>
      </c>
      <c r="G41" s="195">
        <v>9</v>
      </c>
      <c r="H41" s="108"/>
      <c r="I41" s="80"/>
      <c r="J41" s="232"/>
      <c r="K41" s="232"/>
      <c r="L41" s="232"/>
      <c r="M41" s="232"/>
      <c r="N41" s="232"/>
      <c r="O41" s="232"/>
      <c r="P41" s="232"/>
      <c r="Q41" s="229"/>
      <c r="R41" s="229"/>
      <c r="S41" s="229"/>
      <c r="T41" s="229"/>
      <c r="U41" s="229"/>
      <c r="V41" s="229"/>
      <c r="W41" s="229"/>
      <c r="X41" s="229"/>
      <c r="Y41" s="229"/>
      <c r="AA41" s="96"/>
      <c r="AB41" s="96"/>
      <c r="AC41" s="96"/>
      <c r="AD41" s="96"/>
      <c r="AE41" s="96"/>
      <c r="AF41" s="96"/>
      <c r="AG41" s="96"/>
      <c r="AH41" s="96"/>
      <c r="AI41" s="96"/>
    </row>
    <row r="42" spans="1:35" ht="12.95" customHeight="1">
      <c r="A42" s="190"/>
      <c r="B42" s="265"/>
      <c r="C42" s="229"/>
      <c r="D42" s="229"/>
      <c r="E42" s="245"/>
      <c r="F42" s="54"/>
      <c r="G42" s="54"/>
      <c r="H42" s="102"/>
      <c r="I42" s="147"/>
      <c r="J42" s="232"/>
      <c r="K42" s="232"/>
      <c r="L42" s="232"/>
      <c r="M42" s="232"/>
      <c r="N42" s="232"/>
      <c r="O42" s="232"/>
      <c r="P42" s="232"/>
      <c r="Q42" s="230"/>
      <c r="R42" s="230"/>
      <c r="S42" s="230"/>
      <c r="T42" s="230"/>
      <c r="U42" s="230"/>
      <c r="V42" s="230"/>
      <c r="W42" s="230"/>
      <c r="X42" s="230"/>
      <c r="Y42" s="229"/>
      <c r="AA42" s="96"/>
      <c r="AB42" s="96"/>
      <c r="AC42" s="96"/>
      <c r="AD42" s="96"/>
      <c r="AE42" s="96"/>
      <c r="AF42" s="96"/>
      <c r="AG42" s="96"/>
      <c r="AH42" s="96"/>
      <c r="AI42" s="96"/>
    </row>
    <row r="43" spans="1:35" ht="12.95" customHeight="1">
      <c r="A43" s="190"/>
      <c r="B43" s="265"/>
      <c r="C43" s="229"/>
      <c r="D43" s="229"/>
      <c r="E43" s="267" t="s">
        <v>352</v>
      </c>
      <c r="F43" s="156" t="s">
        <v>395</v>
      </c>
      <c r="G43" s="120" t="s">
        <v>396</v>
      </c>
      <c r="H43" s="101"/>
      <c r="I43" s="60"/>
      <c r="J43" s="232"/>
      <c r="K43" s="232"/>
      <c r="L43" s="232"/>
      <c r="M43" s="232"/>
      <c r="N43" s="232"/>
      <c r="O43" s="232"/>
      <c r="P43" s="232"/>
      <c r="Q43" s="228"/>
      <c r="R43" s="228"/>
      <c r="S43" s="228"/>
      <c r="T43" s="228"/>
      <c r="U43" s="228"/>
      <c r="V43" s="228"/>
      <c r="W43" s="228"/>
      <c r="X43" s="228"/>
      <c r="Y43" s="229"/>
      <c r="AA43" s="96"/>
      <c r="AB43" s="96"/>
      <c r="AC43" s="96"/>
      <c r="AD43" s="96"/>
      <c r="AE43" s="96"/>
      <c r="AF43" s="96"/>
      <c r="AG43" s="96"/>
      <c r="AH43" s="96"/>
      <c r="AI43" s="96"/>
    </row>
    <row r="44" spans="1:35" ht="12.95" customHeight="1">
      <c r="A44" s="190"/>
      <c r="B44" s="265"/>
      <c r="C44" s="229"/>
      <c r="D44" s="229"/>
      <c r="E44" s="271"/>
      <c r="F44" s="81"/>
      <c r="G44" s="81"/>
      <c r="H44" s="100"/>
      <c r="I44" s="61"/>
      <c r="J44" s="232"/>
      <c r="K44" s="232"/>
      <c r="L44" s="232"/>
      <c r="M44" s="232"/>
      <c r="N44" s="232"/>
      <c r="O44" s="232"/>
      <c r="P44" s="232"/>
      <c r="Q44" s="229"/>
      <c r="R44" s="229"/>
      <c r="S44" s="229"/>
      <c r="T44" s="229"/>
      <c r="U44" s="229"/>
      <c r="V44" s="229"/>
      <c r="W44" s="229"/>
      <c r="X44" s="229"/>
      <c r="Y44" s="229"/>
      <c r="AA44" s="96"/>
      <c r="AB44" s="96"/>
      <c r="AC44" s="96"/>
      <c r="AD44" s="96"/>
      <c r="AE44" s="96"/>
      <c r="AF44" s="96"/>
      <c r="AG44" s="96"/>
      <c r="AH44" s="96"/>
      <c r="AI44" s="96"/>
    </row>
    <row r="45" spans="1:35" ht="12.95" customHeight="1">
      <c r="A45" s="190"/>
      <c r="B45" s="266"/>
      <c r="C45" s="230"/>
      <c r="D45" s="230"/>
      <c r="E45" s="272"/>
      <c r="F45" s="147"/>
      <c r="G45" s="147"/>
      <c r="H45" s="102"/>
      <c r="I45" s="62"/>
      <c r="J45" s="233"/>
      <c r="K45" s="233"/>
      <c r="L45" s="233"/>
      <c r="M45" s="233"/>
      <c r="N45" s="233"/>
      <c r="O45" s="233"/>
      <c r="P45" s="233"/>
      <c r="Q45" s="230"/>
      <c r="R45" s="230"/>
      <c r="S45" s="230"/>
      <c r="T45" s="230"/>
      <c r="U45" s="230"/>
      <c r="V45" s="230"/>
      <c r="W45" s="230"/>
      <c r="X45" s="230"/>
      <c r="Y45" s="230"/>
      <c r="AA45" s="96"/>
      <c r="AB45" s="96"/>
      <c r="AC45" s="96"/>
      <c r="AD45" s="96"/>
      <c r="AE45" s="96"/>
      <c r="AF45" s="96"/>
      <c r="AG45" s="96"/>
      <c r="AH45" s="96"/>
      <c r="AI45" s="96"/>
    </row>
    <row r="46" spans="1:35" s="68" customFormat="1" ht="12.95" customHeight="1">
      <c r="A46" s="191"/>
      <c r="B46" s="258" t="s">
        <v>37</v>
      </c>
      <c r="C46" s="259"/>
      <c r="D46" s="260"/>
      <c r="E46" s="261" t="s">
        <v>172</v>
      </c>
      <c r="F46" s="262"/>
      <c r="G46" s="262"/>
      <c r="H46" s="262"/>
      <c r="I46" s="262"/>
      <c r="J46" s="280"/>
      <c r="K46" s="280"/>
      <c r="L46" s="280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3"/>
      <c r="AA46" s="96"/>
      <c r="AB46" s="96"/>
      <c r="AC46" s="96"/>
      <c r="AD46" s="96"/>
      <c r="AE46" s="96"/>
      <c r="AF46" s="96"/>
      <c r="AG46" s="96"/>
      <c r="AH46" s="96"/>
      <c r="AI46" s="96"/>
    </row>
    <row r="47" spans="1:35" ht="12.95" customHeight="1">
      <c r="A47" s="189">
        <v>269</v>
      </c>
      <c r="B47" s="264">
        <v>43811</v>
      </c>
      <c r="C47" s="228" t="s">
        <v>118</v>
      </c>
      <c r="D47" s="228" t="s">
        <v>367</v>
      </c>
      <c r="E47" s="267" t="s">
        <v>269</v>
      </c>
      <c r="F47" s="53" t="s">
        <v>173</v>
      </c>
      <c r="G47" s="53" t="s">
        <v>380</v>
      </c>
      <c r="H47" s="117"/>
      <c r="I47" s="53"/>
      <c r="J47" s="231">
        <v>5</v>
      </c>
      <c r="K47" s="231">
        <v>2.6</v>
      </c>
      <c r="L47" s="231">
        <v>0</v>
      </c>
      <c r="M47" s="231">
        <v>1.7</v>
      </c>
      <c r="N47" s="231">
        <v>0</v>
      </c>
      <c r="O47" s="231">
        <v>2.5</v>
      </c>
      <c r="P47" s="231">
        <f>SUM(J47*70+166.5+L47*120+M47*25+N47*60+O47*45)</f>
        <v>671.5</v>
      </c>
      <c r="Q47" s="228"/>
      <c r="R47" s="228"/>
      <c r="S47" s="228"/>
      <c r="T47" s="228"/>
      <c r="U47" s="228"/>
      <c r="V47" s="228"/>
      <c r="W47" s="228"/>
      <c r="X47" s="228"/>
      <c r="Y47" s="228"/>
      <c r="AA47" s="96"/>
      <c r="AB47" s="96"/>
      <c r="AC47" s="96"/>
      <c r="AD47" s="96"/>
      <c r="AE47" s="96"/>
      <c r="AF47" s="96"/>
      <c r="AG47" s="96"/>
      <c r="AH47" s="96"/>
      <c r="AI47" s="96"/>
    </row>
    <row r="48" spans="1:35" ht="12.95" customHeight="1">
      <c r="A48" s="190"/>
      <c r="B48" s="265"/>
      <c r="C48" s="229"/>
      <c r="D48" s="229"/>
      <c r="E48" s="244"/>
      <c r="F48" s="48" t="s">
        <v>174</v>
      </c>
      <c r="G48" s="48" t="s">
        <v>59</v>
      </c>
      <c r="H48" s="146"/>
      <c r="I48" s="146"/>
      <c r="J48" s="232"/>
      <c r="K48" s="232"/>
      <c r="L48" s="232"/>
      <c r="M48" s="232"/>
      <c r="N48" s="232"/>
      <c r="O48" s="232"/>
      <c r="P48" s="232"/>
      <c r="Q48" s="229"/>
      <c r="R48" s="229"/>
      <c r="S48" s="229"/>
      <c r="T48" s="229"/>
      <c r="U48" s="229"/>
      <c r="V48" s="229"/>
      <c r="W48" s="229"/>
      <c r="X48" s="229"/>
      <c r="Y48" s="229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1:35" ht="12.95" customHeight="1">
      <c r="A49" s="190"/>
      <c r="B49" s="265"/>
      <c r="C49" s="229"/>
      <c r="D49" s="229"/>
      <c r="E49" s="245"/>
      <c r="F49" s="54"/>
      <c r="G49" s="147"/>
      <c r="H49" s="147"/>
      <c r="I49" s="147"/>
      <c r="J49" s="232"/>
      <c r="K49" s="232"/>
      <c r="L49" s="232"/>
      <c r="M49" s="232"/>
      <c r="N49" s="232"/>
      <c r="O49" s="232"/>
      <c r="P49" s="232"/>
      <c r="Q49" s="229"/>
      <c r="R49" s="229"/>
      <c r="S49" s="229"/>
      <c r="T49" s="229"/>
      <c r="U49" s="229"/>
      <c r="V49" s="229"/>
      <c r="W49" s="229"/>
      <c r="X49" s="229"/>
      <c r="Y49" s="229"/>
      <c r="AA49" s="96"/>
      <c r="AB49" s="96"/>
      <c r="AC49" s="96"/>
      <c r="AD49" s="96"/>
      <c r="AE49" s="96"/>
      <c r="AF49" s="96"/>
      <c r="AG49" s="96"/>
      <c r="AH49" s="96"/>
      <c r="AI49" s="96"/>
    </row>
    <row r="50" spans="1:35" ht="12.95" customHeight="1">
      <c r="A50" s="190"/>
      <c r="B50" s="265"/>
      <c r="C50" s="229"/>
      <c r="D50" s="229"/>
      <c r="E50" s="267" t="s">
        <v>270</v>
      </c>
      <c r="F50" s="146" t="s">
        <v>175</v>
      </c>
      <c r="G50" s="201">
        <v>3</v>
      </c>
      <c r="H50" s="53" t="s">
        <v>48</v>
      </c>
      <c r="I50" s="82">
        <f>ROUND(0.7*A47/1000,1)</f>
        <v>0.2</v>
      </c>
      <c r="J50" s="232"/>
      <c r="K50" s="232"/>
      <c r="L50" s="232"/>
      <c r="M50" s="232"/>
      <c r="N50" s="232"/>
      <c r="O50" s="232"/>
      <c r="P50" s="232"/>
      <c r="Q50" s="228"/>
      <c r="R50" s="228"/>
      <c r="S50" s="228"/>
      <c r="T50" s="228"/>
      <c r="U50" s="228"/>
      <c r="V50" s="228"/>
      <c r="W50" s="228"/>
      <c r="X50" s="228"/>
      <c r="Y50" s="229"/>
      <c r="AA50" s="96"/>
      <c r="AB50" s="96"/>
      <c r="AC50" s="96"/>
      <c r="AD50" s="96"/>
      <c r="AE50" s="96"/>
      <c r="AF50" s="96"/>
      <c r="AG50" s="96"/>
      <c r="AH50" s="96"/>
      <c r="AI50" s="96"/>
    </row>
    <row r="51" spans="1:35" ht="12.95" customHeight="1">
      <c r="A51" s="190"/>
      <c r="B51" s="265"/>
      <c r="C51" s="229"/>
      <c r="D51" s="229"/>
      <c r="E51" s="244"/>
      <c r="F51" s="146" t="s">
        <v>176</v>
      </c>
      <c r="G51" s="56">
        <f>ROUND(50*A47/1000,0)</f>
        <v>13</v>
      </c>
      <c r="H51" s="153" t="s">
        <v>177</v>
      </c>
      <c r="I51" s="146">
        <f>ROUND(6*A47/1000,0)</f>
        <v>2</v>
      </c>
      <c r="J51" s="232"/>
      <c r="K51" s="232"/>
      <c r="L51" s="232"/>
      <c r="M51" s="232"/>
      <c r="N51" s="232"/>
      <c r="O51" s="232"/>
      <c r="P51" s="232"/>
      <c r="Q51" s="229"/>
      <c r="R51" s="229"/>
      <c r="S51" s="229"/>
      <c r="T51" s="229"/>
      <c r="U51" s="229"/>
      <c r="V51" s="229"/>
      <c r="W51" s="229"/>
      <c r="X51" s="229"/>
      <c r="Y51" s="229"/>
      <c r="AA51" s="96"/>
      <c r="AB51" s="96"/>
      <c r="AC51" s="96"/>
      <c r="AD51" s="96"/>
      <c r="AE51" s="96"/>
      <c r="AF51" s="96"/>
      <c r="AG51" s="96"/>
      <c r="AH51" s="96"/>
      <c r="AI51" s="96"/>
    </row>
    <row r="52" spans="1:35" ht="12.95" customHeight="1">
      <c r="A52" s="190"/>
      <c r="B52" s="265"/>
      <c r="C52" s="229"/>
      <c r="D52" s="229"/>
      <c r="E52" s="245"/>
      <c r="F52" s="146" t="s">
        <v>114</v>
      </c>
      <c r="G52" s="64">
        <f>ROUND(4.8*A47/1000,0)</f>
        <v>1</v>
      </c>
      <c r="H52" s="65"/>
      <c r="I52" s="65"/>
      <c r="J52" s="232"/>
      <c r="K52" s="232"/>
      <c r="L52" s="232"/>
      <c r="M52" s="232"/>
      <c r="N52" s="232"/>
      <c r="O52" s="232"/>
      <c r="P52" s="232"/>
      <c r="Q52" s="230"/>
      <c r="R52" s="230"/>
      <c r="S52" s="230"/>
      <c r="T52" s="230"/>
      <c r="U52" s="230"/>
      <c r="V52" s="230"/>
      <c r="W52" s="230"/>
      <c r="X52" s="230"/>
      <c r="Y52" s="229"/>
      <c r="AA52" s="96"/>
      <c r="AB52" s="96"/>
      <c r="AC52" s="96"/>
      <c r="AD52" s="96"/>
      <c r="AE52" s="96"/>
      <c r="AF52" s="96"/>
      <c r="AG52" s="96"/>
      <c r="AH52" s="96"/>
      <c r="AI52" s="96"/>
    </row>
    <row r="53" spans="1:35" ht="12.95" customHeight="1">
      <c r="A53" s="190"/>
      <c r="B53" s="265"/>
      <c r="C53" s="229"/>
      <c r="D53" s="229"/>
      <c r="E53" s="247" t="s">
        <v>178</v>
      </c>
      <c r="F53" s="145" t="s">
        <v>341</v>
      </c>
      <c r="G53" s="49">
        <v>21.52</v>
      </c>
      <c r="H53" s="117"/>
      <c r="I53" s="117"/>
      <c r="J53" s="232"/>
      <c r="K53" s="232"/>
      <c r="L53" s="232"/>
      <c r="M53" s="232"/>
      <c r="N53" s="232"/>
      <c r="O53" s="232"/>
      <c r="P53" s="232"/>
      <c r="Q53" s="228"/>
      <c r="R53" s="228"/>
      <c r="S53" s="228"/>
      <c r="T53" s="228"/>
      <c r="U53" s="228"/>
      <c r="V53" s="228"/>
      <c r="W53" s="228"/>
      <c r="X53" s="228"/>
      <c r="Y53" s="229"/>
      <c r="AA53" s="96"/>
      <c r="AB53" s="96"/>
      <c r="AC53" s="96"/>
      <c r="AD53" s="96"/>
      <c r="AE53" s="96"/>
      <c r="AF53" s="96"/>
      <c r="AG53" s="96"/>
      <c r="AH53" s="96"/>
      <c r="AI53" s="96"/>
    </row>
    <row r="54" spans="1:35" ht="12.95" customHeight="1">
      <c r="A54" s="190"/>
      <c r="B54" s="265"/>
      <c r="C54" s="229"/>
      <c r="D54" s="229"/>
      <c r="E54" s="244"/>
      <c r="F54" s="156" t="s">
        <v>342</v>
      </c>
      <c r="G54" s="156" t="s">
        <v>343</v>
      </c>
      <c r="H54" s="146"/>
      <c r="I54" s="146"/>
      <c r="J54" s="232"/>
      <c r="K54" s="232"/>
      <c r="L54" s="232"/>
      <c r="M54" s="232"/>
      <c r="N54" s="232"/>
      <c r="O54" s="232"/>
      <c r="P54" s="232"/>
      <c r="Q54" s="229"/>
      <c r="R54" s="229"/>
      <c r="S54" s="229"/>
      <c r="T54" s="229"/>
      <c r="U54" s="229"/>
      <c r="V54" s="229"/>
      <c r="W54" s="229"/>
      <c r="X54" s="229"/>
      <c r="Y54" s="229"/>
      <c r="AA54" s="96"/>
      <c r="AB54" s="96"/>
      <c r="AC54" s="96"/>
      <c r="AD54" s="96"/>
      <c r="AE54" s="96"/>
      <c r="AF54" s="96"/>
      <c r="AG54" s="96"/>
      <c r="AH54" s="96"/>
      <c r="AI54" s="96"/>
    </row>
    <row r="55" spans="1:35" ht="12.95" customHeight="1">
      <c r="A55" s="190"/>
      <c r="B55" s="265"/>
      <c r="C55" s="229"/>
      <c r="D55" s="229"/>
      <c r="E55" s="245"/>
      <c r="F55" s="147"/>
      <c r="G55" s="147"/>
      <c r="H55" s="147"/>
      <c r="I55" s="147"/>
      <c r="J55" s="232"/>
      <c r="K55" s="232"/>
      <c r="L55" s="232"/>
      <c r="M55" s="232"/>
      <c r="N55" s="232"/>
      <c r="O55" s="232"/>
      <c r="P55" s="232"/>
      <c r="Q55" s="230"/>
      <c r="R55" s="230"/>
      <c r="S55" s="230"/>
      <c r="T55" s="230"/>
      <c r="U55" s="230"/>
      <c r="V55" s="230"/>
      <c r="W55" s="230"/>
      <c r="X55" s="230"/>
      <c r="Y55" s="229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12.95" customHeight="1">
      <c r="A56" s="190"/>
      <c r="B56" s="265"/>
      <c r="C56" s="229"/>
      <c r="D56" s="229"/>
      <c r="E56" s="267" t="s">
        <v>271</v>
      </c>
      <c r="F56" s="117" t="s">
        <v>51</v>
      </c>
      <c r="G56" s="117">
        <f>ROUND(13.9*A47/1000,0)</f>
        <v>4</v>
      </c>
      <c r="H56" s="53"/>
      <c r="I56" s="53"/>
      <c r="J56" s="232"/>
      <c r="K56" s="232"/>
      <c r="L56" s="232"/>
      <c r="M56" s="232"/>
      <c r="N56" s="232"/>
      <c r="O56" s="232"/>
      <c r="P56" s="232"/>
      <c r="Q56" s="228"/>
      <c r="R56" s="228"/>
      <c r="S56" s="228"/>
      <c r="T56" s="228"/>
      <c r="U56" s="228"/>
      <c r="V56" s="228"/>
      <c r="W56" s="228"/>
      <c r="X56" s="228"/>
      <c r="Y56" s="229"/>
      <c r="AA56" s="96"/>
      <c r="AB56" s="96"/>
      <c r="AC56" s="96"/>
      <c r="AD56" s="96"/>
      <c r="AE56" s="96"/>
      <c r="AF56" s="96"/>
      <c r="AG56" s="96"/>
      <c r="AH56" s="96"/>
      <c r="AI56" s="96"/>
    </row>
    <row r="57" spans="1:35" ht="12.95" customHeight="1">
      <c r="A57" s="190"/>
      <c r="B57" s="265"/>
      <c r="C57" s="229"/>
      <c r="D57" s="229"/>
      <c r="E57" s="244"/>
      <c r="F57" s="146" t="s">
        <v>52</v>
      </c>
      <c r="G57" s="146">
        <f>ROUND(34.9*A47/1000,0)</f>
        <v>9</v>
      </c>
      <c r="H57" s="48"/>
      <c r="I57" s="48"/>
      <c r="J57" s="232"/>
      <c r="K57" s="232"/>
      <c r="L57" s="232"/>
      <c r="M57" s="232"/>
      <c r="N57" s="232"/>
      <c r="O57" s="232"/>
      <c r="P57" s="232"/>
      <c r="Q57" s="229"/>
      <c r="R57" s="229"/>
      <c r="S57" s="229"/>
      <c r="T57" s="229"/>
      <c r="U57" s="229"/>
      <c r="V57" s="229"/>
      <c r="W57" s="229"/>
      <c r="X57" s="229"/>
      <c r="Y57" s="229"/>
      <c r="AA57" s="96"/>
      <c r="AB57" s="96"/>
      <c r="AC57" s="96"/>
      <c r="AD57" s="96"/>
      <c r="AE57" s="96"/>
      <c r="AF57" s="96"/>
      <c r="AG57" s="96"/>
      <c r="AH57" s="96"/>
      <c r="AI57" s="96"/>
    </row>
    <row r="58" spans="1:35" ht="12.95" customHeight="1">
      <c r="A58" s="190"/>
      <c r="B58" s="266"/>
      <c r="C58" s="230"/>
      <c r="D58" s="229"/>
      <c r="E58" s="245"/>
      <c r="F58" s="147" t="s">
        <v>53</v>
      </c>
      <c r="G58" s="147">
        <f>ROUND(1.3*A47/1000,1)</f>
        <v>0.3</v>
      </c>
      <c r="H58" s="54"/>
      <c r="I58" s="54"/>
      <c r="J58" s="233"/>
      <c r="K58" s="233"/>
      <c r="L58" s="233"/>
      <c r="M58" s="233"/>
      <c r="N58" s="233"/>
      <c r="O58" s="233"/>
      <c r="P58" s="233"/>
      <c r="Q58" s="230"/>
      <c r="R58" s="230"/>
      <c r="S58" s="230"/>
      <c r="T58" s="230"/>
      <c r="U58" s="230"/>
      <c r="V58" s="230"/>
      <c r="W58" s="230"/>
      <c r="X58" s="230"/>
      <c r="Y58" s="230"/>
      <c r="AA58" s="96"/>
      <c r="AB58" s="96"/>
      <c r="AC58" s="96"/>
      <c r="AD58" s="96"/>
      <c r="AE58" s="96"/>
      <c r="AF58" s="96"/>
      <c r="AG58" s="96"/>
      <c r="AH58" s="96"/>
      <c r="AI58" s="96"/>
    </row>
    <row r="59" spans="1:35" s="68" customFormat="1" ht="12.95" customHeight="1">
      <c r="A59" s="191"/>
      <c r="B59" s="258" t="s">
        <v>181</v>
      </c>
      <c r="C59" s="259"/>
      <c r="D59" s="260"/>
      <c r="E59" s="279" t="s">
        <v>248</v>
      </c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3"/>
      <c r="AA59" s="96"/>
      <c r="AB59" s="96"/>
      <c r="AC59" s="96"/>
      <c r="AD59" s="96"/>
      <c r="AE59" s="96"/>
      <c r="AF59" s="96"/>
      <c r="AG59" s="96"/>
      <c r="AH59" s="96"/>
      <c r="AI59" s="96"/>
    </row>
    <row r="60" spans="1:35" ht="12.95" customHeight="1">
      <c r="A60" s="189">
        <v>269</v>
      </c>
      <c r="B60" s="264">
        <v>43812</v>
      </c>
      <c r="C60" s="235" t="s">
        <v>182</v>
      </c>
      <c r="D60" s="273" t="s">
        <v>369</v>
      </c>
      <c r="E60" s="267" t="s">
        <v>388</v>
      </c>
      <c r="F60" s="117" t="s">
        <v>389</v>
      </c>
      <c r="G60" s="117">
        <f>ROUND(50*A60/1000,0)</f>
        <v>13</v>
      </c>
      <c r="H60" s="156"/>
      <c r="I60" s="50"/>
      <c r="J60" s="231">
        <v>5.7</v>
      </c>
      <c r="K60" s="231">
        <v>2.5</v>
      </c>
      <c r="L60" s="231">
        <v>0</v>
      </c>
      <c r="M60" s="231">
        <v>1.1000000000000001</v>
      </c>
      <c r="N60" s="231">
        <v>0</v>
      </c>
      <c r="O60" s="231">
        <v>2.5</v>
      </c>
      <c r="P60" s="231">
        <f>SUM(J60*70+K60*75+L60*120+M60*25+N60*60+O60*45)</f>
        <v>726.5</v>
      </c>
      <c r="Q60" s="228"/>
      <c r="R60" s="228"/>
      <c r="S60" s="228"/>
      <c r="T60" s="228"/>
      <c r="U60" s="228"/>
      <c r="V60" s="228"/>
      <c r="W60" s="228"/>
      <c r="X60" s="228"/>
      <c r="Y60" s="268"/>
      <c r="AA60" s="96"/>
      <c r="AB60" s="96"/>
      <c r="AC60" s="96"/>
      <c r="AD60" s="96"/>
      <c r="AE60" s="96"/>
      <c r="AF60" s="96"/>
      <c r="AG60" s="96"/>
      <c r="AH60" s="96"/>
      <c r="AI60" s="96"/>
    </row>
    <row r="61" spans="1:35" ht="12.95" customHeight="1">
      <c r="A61" s="190"/>
      <c r="B61" s="265"/>
      <c r="C61" s="236"/>
      <c r="D61" s="274"/>
      <c r="E61" s="244"/>
      <c r="F61" s="146" t="s">
        <v>390</v>
      </c>
      <c r="G61" s="48">
        <f>ROUND(25*A60/1000,0)</f>
        <v>7</v>
      </c>
      <c r="H61" s="146"/>
      <c r="I61" s="146"/>
      <c r="J61" s="232"/>
      <c r="K61" s="232"/>
      <c r="L61" s="232"/>
      <c r="M61" s="232"/>
      <c r="N61" s="232"/>
      <c r="O61" s="232"/>
      <c r="P61" s="232"/>
      <c r="Q61" s="229"/>
      <c r="R61" s="229"/>
      <c r="S61" s="229"/>
      <c r="T61" s="229"/>
      <c r="U61" s="229"/>
      <c r="V61" s="229"/>
      <c r="W61" s="229"/>
      <c r="X61" s="229"/>
      <c r="Y61" s="269"/>
      <c r="AA61" s="96"/>
      <c r="AB61" s="96"/>
      <c r="AC61" s="96"/>
      <c r="AD61" s="96"/>
      <c r="AE61" s="96"/>
      <c r="AF61" s="96"/>
      <c r="AG61" s="96"/>
      <c r="AH61" s="96"/>
      <c r="AI61" s="96"/>
    </row>
    <row r="62" spans="1:35" ht="12.95" customHeight="1">
      <c r="A62" s="190"/>
      <c r="B62" s="265"/>
      <c r="C62" s="236"/>
      <c r="D62" s="274"/>
      <c r="E62" s="245"/>
      <c r="F62" s="147" t="s">
        <v>391</v>
      </c>
      <c r="G62" s="147">
        <f>ROUND(12*A60/1000,0)</f>
        <v>3</v>
      </c>
      <c r="H62" s="54"/>
      <c r="I62" s="147"/>
      <c r="J62" s="232"/>
      <c r="K62" s="232"/>
      <c r="L62" s="232"/>
      <c r="M62" s="232"/>
      <c r="N62" s="232"/>
      <c r="O62" s="232"/>
      <c r="P62" s="232"/>
      <c r="Q62" s="230"/>
      <c r="R62" s="230"/>
      <c r="S62" s="230"/>
      <c r="T62" s="230"/>
      <c r="U62" s="230"/>
      <c r="V62" s="230"/>
      <c r="W62" s="230"/>
      <c r="X62" s="230"/>
      <c r="Y62" s="269"/>
      <c r="AA62" s="96"/>
      <c r="AB62" s="96"/>
      <c r="AC62" s="96"/>
      <c r="AD62" s="96"/>
      <c r="AE62" s="96"/>
      <c r="AF62" s="96"/>
      <c r="AG62" s="96"/>
      <c r="AH62" s="96"/>
      <c r="AI62" s="96"/>
    </row>
    <row r="63" spans="1:35" ht="12.95" customHeight="1">
      <c r="A63" s="190"/>
      <c r="B63" s="265"/>
      <c r="C63" s="236"/>
      <c r="D63" s="274"/>
      <c r="E63" s="304" t="s">
        <v>442</v>
      </c>
      <c r="F63" s="196" t="s">
        <v>322</v>
      </c>
      <c r="G63" s="75">
        <v>21</v>
      </c>
      <c r="H63" s="146"/>
      <c r="I63" s="146"/>
      <c r="J63" s="232"/>
      <c r="K63" s="232"/>
      <c r="L63" s="232"/>
      <c r="M63" s="232"/>
      <c r="N63" s="232"/>
      <c r="O63" s="232"/>
      <c r="P63" s="232"/>
      <c r="Q63" s="228"/>
      <c r="R63" s="228"/>
      <c r="S63" s="228"/>
      <c r="T63" s="228"/>
      <c r="U63" s="228"/>
      <c r="V63" s="228"/>
      <c r="W63" s="228"/>
      <c r="X63" s="228"/>
      <c r="Y63" s="269"/>
      <c r="AA63" s="96"/>
      <c r="AB63" s="96"/>
      <c r="AC63" s="96"/>
      <c r="AD63" s="96"/>
      <c r="AE63" s="96"/>
      <c r="AF63" s="96"/>
      <c r="AG63" s="96"/>
      <c r="AH63" s="96"/>
      <c r="AI63" s="96"/>
    </row>
    <row r="64" spans="1:35" ht="12.95" customHeight="1">
      <c r="A64" s="190"/>
      <c r="B64" s="265"/>
      <c r="C64" s="236"/>
      <c r="D64" s="274"/>
      <c r="E64" s="305"/>
      <c r="F64" s="196" t="s">
        <v>443</v>
      </c>
      <c r="G64" s="195">
        <v>1</v>
      </c>
      <c r="H64" s="146"/>
      <c r="I64" s="146"/>
      <c r="J64" s="232"/>
      <c r="K64" s="232"/>
      <c r="L64" s="232"/>
      <c r="M64" s="232"/>
      <c r="N64" s="232"/>
      <c r="O64" s="232"/>
      <c r="P64" s="232"/>
      <c r="Q64" s="229"/>
      <c r="R64" s="229"/>
      <c r="S64" s="229"/>
      <c r="T64" s="229"/>
      <c r="U64" s="229"/>
      <c r="V64" s="229"/>
      <c r="W64" s="229"/>
      <c r="X64" s="229"/>
      <c r="Y64" s="269"/>
      <c r="AA64" s="96"/>
      <c r="AB64" s="96"/>
      <c r="AC64" s="96"/>
      <c r="AD64" s="96"/>
      <c r="AE64" s="96"/>
      <c r="AF64" s="96"/>
      <c r="AG64" s="96"/>
      <c r="AH64" s="96"/>
      <c r="AI64" s="96"/>
    </row>
    <row r="65" spans="1:35" ht="12.95" customHeight="1">
      <c r="A65" s="190"/>
      <c r="B65" s="265"/>
      <c r="C65" s="236"/>
      <c r="D65" s="274"/>
      <c r="E65" s="306"/>
      <c r="F65" s="147"/>
      <c r="G65" s="54"/>
      <c r="H65" s="146"/>
      <c r="I65" s="146"/>
      <c r="J65" s="232"/>
      <c r="K65" s="232"/>
      <c r="L65" s="232"/>
      <c r="M65" s="232"/>
      <c r="N65" s="232"/>
      <c r="O65" s="232"/>
      <c r="P65" s="232"/>
      <c r="Q65" s="230"/>
      <c r="R65" s="230"/>
      <c r="S65" s="230"/>
      <c r="T65" s="230"/>
      <c r="U65" s="230"/>
      <c r="V65" s="230"/>
      <c r="W65" s="230"/>
      <c r="X65" s="230"/>
      <c r="Y65" s="269"/>
      <c r="AA65" s="96"/>
      <c r="AB65" s="96"/>
      <c r="AC65" s="96"/>
      <c r="AD65" s="96"/>
      <c r="AE65" s="96"/>
      <c r="AF65" s="96"/>
      <c r="AG65" s="96"/>
      <c r="AH65" s="96"/>
      <c r="AI65" s="96"/>
    </row>
    <row r="66" spans="1:35" ht="12.95" customHeight="1">
      <c r="A66" s="190"/>
      <c r="B66" s="265"/>
      <c r="C66" s="236"/>
      <c r="D66" s="274"/>
      <c r="E66" s="247" t="s">
        <v>104</v>
      </c>
      <c r="F66" s="145" t="s">
        <v>341</v>
      </c>
      <c r="G66" s="49">
        <v>21.52</v>
      </c>
      <c r="H66" s="53"/>
      <c r="I66" s="53"/>
      <c r="J66" s="232"/>
      <c r="K66" s="232"/>
      <c r="L66" s="232"/>
      <c r="M66" s="232"/>
      <c r="N66" s="232"/>
      <c r="O66" s="232"/>
      <c r="P66" s="232"/>
      <c r="Q66" s="228"/>
      <c r="R66" s="228"/>
      <c r="S66" s="228"/>
      <c r="T66" s="228"/>
      <c r="U66" s="228"/>
      <c r="V66" s="228"/>
      <c r="W66" s="228"/>
      <c r="X66" s="228"/>
      <c r="Y66" s="269"/>
      <c r="AA66" s="96"/>
      <c r="AB66" s="96"/>
      <c r="AC66" s="96"/>
      <c r="AD66" s="96"/>
      <c r="AE66" s="96"/>
      <c r="AF66" s="96"/>
      <c r="AG66" s="96"/>
      <c r="AH66" s="96"/>
      <c r="AI66" s="96"/>
    </row>
    <row r="67" spans="1:35" ht="12.95" customHeight="1">
      <c r="A67" s="190"/>
      <c r="B67" s="265"/>
      <c r="C67" s="236"/>
      <c r="D67" s="274"/>
      <c r="E67" s="244"/>
      <c r="F67" s="156" t="s">
        <v>342</v>
      </c>
      <c r="G67" s="156" t="s">
        <v>343</v>
      </c>
      <c r="H67" s="48"/>
      <c r="I67" s="48"/>
      <c r="J67" s="232"/>
      <c r="K67" s="232"/>
      <c r="L67" s="232"/>
      <c r="M67" s="232"/>
      <c r="N67" s="232"/>
      <c r="O67" s="232"/>
      <c r="P67" s="232"/>
      <c r="Q67" s="229"/>
      <c r="R67" s="229"/>
      <c r="S67" s="229"/>
      <c r="T67" s="229"/>
      <c r="U67" s="229"/>
      <c r="V67" s="229"/>
      <c r="W67" s="229"/>
      <c r="X67" s="229"/>
      <c r="Y67" s="269"/>
      <c r="AA67" s="96"/>
      <c r="AB67" s="96"/>
      <c r="AC67" s="96"/>
      <c r="AD67" s="96"/>
      <c r="AE67" s="96"/>
      <c r="AF67" s="96"/>
      <c r="AG67" s="96"/>
      <c r="AH67" s="96"/>
      <c r="AI67" s="96"/>
    </row>
    <row r="68" spans="1:35" ht="12.95" customHeight="1">
      <c r="A68" s="190"/>
      <c r="B68" s="265"/>
      <c r="C68" s="236"/>
      <c r="D68" s="274"/>
      <c r="E68" s="245"/>
      <c r="F68" s="147"/>
      <c r="G68" s="147"/>
      <c r="H68" s="54"/>
      <c r="I68" s="54"/>
      <c r="J68" s="232"/>
      <c r="K68" s="232"/>
      <c r="L68" s="232"/>
      <c r="M68" s="232"/>
      <c r="N68" s="232"/>
      <c r="O68" s="232"/>
      <c r="P68" s="232"/>
      <c r="Q68" s="230"/>
      <c r="R68" s="230"/>
      <c r="S68" s="230"/>
      <c r="T68" s="230"/>
      <c r="U68" s="230"/>
      <c r="V68" s="230"/>
      <c r="W68" s="230"/>
      <c r="X68" s="230"/>
      <c r="Y68" s="269"/>
      <c r="AA68" s="96"/>
      <c r="AB68" s="96"/>
      <c r="AC68" s="96"/>
      <c r="AD68" s="96"/>
      <c r="AE68" s="96"/>
      <c r="AF68" s="96"/>
      <c r="AG68" s="96"/>
      <c r="AH68" s="96"/>
      <c r="AI68" s="96"/>
    </row>
    <row r="69" spans="1:35" ht="12.95" customHeight="1">
      <c r="A69" s="190"/>
      <c r="B69" s="265"/>
      <c r="C69" s="236"/>
      <c r="D69" s="274"/>
      <c r="E69" s="255" t="s">
        <v>266</v>
      </c>
      <c r="F69" s="53" t="s">
        <v>159</v>
      </c>
      <c r="G69" s="53">
        <f>ROUND(7.5*A60/1000,0)</f>
        <v>2</v>
      </c>
      <c r="H69" s="53" t="s">
        <v>160</v>
      </c>
      <c r="I69" s="53">
        <f>ROUND(2.3*A60/1000,1)</f>
        <v>0.6</v>
      </c>
      <c r="J69" s="232"/>
      <c r="K69" s="232"/>
      <c r="L69" s="232"/>
      <c r="M69" s="232"/>
      <c r="N69" s="232"/>
      <c r="O69" s="232"/>
      <c r="P69" s="232"/>
      <c r="Q69" s="228"/>
      <c r="R69" s="228"/>
      <c r="S69" s="228"/>
      <c r="T69" s="228"/>
      <c r="U69" s="228"/>
      <c r="V69" s="228"/>
      <c r="W69" s="228"/>
      <c r="X69" s="228"/>
      <c r="Y69" s="269"/>
      <c r="AA69" s="96"/>
      <c r="AB69" s="96"/>
      <c r="AC69" s="96"/>
      <c r="AD69" s="96"/>
      <c r="AE69" s="96"/>
      <c r="AF69" s="96"/>
      <c r="AG69" s="96"/>
      <c r="AH69" s="96"/>
      <c r="AI69" s="96"/>
    </row>
    <row r="70" spans="1:35" ht="12.95" customHeight="1">
      <c r="A70" s="190"/>
      <c r="B70" s="265"/>
      <c r="C70" s="236"/>
      <c r="D70" s="274"/>
      <c r="E70" s="256"/>
      <c r="F70" s="48" t="s">
        <v>161</v>
      </c>
      <c r="G70" s="78">
        <f>ROUND(13.5*A60/1000,1)</f>
        <v>3.6</v>
      </c>
      <c r="H70" s="48" t="s">
        <v>162</v>
      </c>
      <c r="I70" s="48">
        <f>ROUND(1*A60/1000,1)</f>
        <v>0.3</v>
      </c>
      <c r="J70" s="232"/>
      <c r="K70" s="232"/>
      <c r="L70" s="232"/>
      <c r="M70" s="232"/>
      <c r="N70" s="232"/>
      <c r="O70" s="232"/>
      <c r="P70" s="232"/>
      <c r="Q70" s="229"/>
      <c r="R70" s="229"/>
      <c r="S70" s="229"/>
      <c r="T70" s="229"/>
      <c r="U70" s="229"/>
      <c r="V70" s="229"/>
      <c r="W70" s="229"/>
      <c r="X70" s="229"/>
      <c r="Y70" s="269"/>
      <c r="AA70" s="96"/>
      <c r="AB70" s="96"/>
      <c r="AC70" s="96"/>
      <c r="AD70" s="96"/>
      <c r="AE70" s="96"/>
      <c r="AF70" s="96"/>
      <c r="AG70" s="96"/>
      <c r="AH70" s="96"/>
      <c r="AI70" s="96"/>
    </row>
    <row r="71" spans="1:35" ht="12.95" customHeight="1">
      <c r="A71" s="190"/>
      <c r="B71" s="266"/>
      <c r="C71" s="237"/>
      <c r="D71" s="275"/>
      <c r="E71" s="256"/>
      <c r="F71" s="48" t="s">
        <v>163</v>
      </c>
      <c r="G71" s="48">
        <f>ROUND(7.5*A60/1000,0)</f>
        <v>2</v>
      </c>
      <c r="H71" s="48" t="s">
        <v>164</v>
      </c>
      <c r="I71" s="48">
        <f>ROUND(9*A60/1000,0)</f>
        <v>2</v>
      </c>
      <c r="J71" s="233"/>
      <c r="K71" s="233"/>
      <c r="L71" s="233"/>
      <c r="M71" s="233"/>
      <c r="N71" s="233"/>
      <c r="O71" s="233"/>
      <c r="P71" s="233"/>
      <c r="Q71" s="230"/>
      <c r="R71" s="230"/>
      <c r="S71" s="230"/>
      <c r="T71" s="230"/>
      <c r="U71" s="230"/>
      <c r="V71" s="230"/>
      <c r="W71" s="230"/>
      <c r="X71" s="230"/>
      <c r="Y71" s="270"/>
      <c r="AA71" s="96"/>
      <c r="AB71" s="96"/>
      <c r="AC71" s="96"/>
      <c r="AD71" s="96"/>
      <c r="AE71" s="96"/>
      <c r="AF71" s="96"/>
      <c r="AG71" s="96"/>
      <c r="AH71" s="96"/>
      <c r="AI71" s="96"/>
    </row>
    <row r="72" spans="1:35" s="68" customFormat="1" ht="12.95" customHeight="1">
      <c r="A72" s="191"/>
      <c r="B72" s="276" t="s">
        <v>122</v>
      </c>
      <c r="C72" s="277"/>
      <c r="D72" s="278"/>
      <c r="E72" s="279" t="s">
        <v>416</v>
      </c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3"/>
      <c r="AA72" s="96"/>
      <c r="AB72" s="96"/>
      <c r="AC72" s="96"/>
      <c r="AD72" s="96"/>
      <c r="AE72" s="96"/>
      <c r="AF72" s="96"/>
      <c r="AG72" s="96"/>
      <c r="AH72" s="96"/>
      <c r="AI72" s="96"/>
    </row>
    <row r="73" spans="1:35" ht="12.95" customHeight="1">
      <c r="B73" s="281" t="s">
        <v>130</v>
      </c>
      <c r="C73" s="282"/>
      <c r="D73" s="282"/>
      <c r="E73" s="283"/>
      <c r="F73" s="290" t="s">
        <v>131</v>
      </c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2"/>
      <c r="AA73" s="96"/>
      <c r="AB73" s="96"/>
      <c r="AC73" s="96"/>
      <c r="AD73" s="96"/>
      <c r="AE73" s="96"/>
      <c r="AF73" s="96"/>
      <c r="AG73" s="96"/>
      <c r="AH73" s="96"/>
      <c r="AI73" s="96"/>
    </row>
    <row r="74" spans="1:35" ht="12.95" customHeight="1">
      <c r="B74" s="284"/>
      <c r="C74" s="285"/>
      <c r="D74" s="285"/>
      <c r="E74" s="286"/>
      <c r="F74" s="293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5"/>
      <c r="AA74" s="96"/>
      <c r="AB74" s="96"/>
      <c r="AC74" s="96"/>
      <c r="AD74" s="96"/>
      <c r="AE74" s="96"/>
      <c r="AF74" s="96"/>
      <c r="AG74" s="96"/>
      <c r="AH74" s="96"/>
      <c r="AI74" s="96"/>
    </row>
    <row r="75" spans="1:35" ht="12.95" customHeight="1">
      <c r="B75" s="284"/>
      <c r="C75" s="285"/>
      <c r="D75" s="285"/>
      <c r="E75" s="286"/>
      <c r="F75" s="293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5"/>
      <c r="AA75" s="96"/>
      <c r="AB75" s="96"/>
      <c r="AC75" s="96"/>
      <c r="AD75" s="96"/>
      <c r="AE75" s="96"/>
      <c r="AF75" s="96"/>
      <c r="AG75" s="96"/>
      <c r="AH75" s="96"/>
      <c r="AI75" s="96"/>
    </row>
    <row r="76" spans="1:35" ht="12.95" customHeight="1">
      <c r="B76" s="287"/>
      <c r="C76" s="288"/>
      <c r="D76" s="288"/>
      <c r="E76" s="289"/>
      <c r="F76" s="296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8"/>
      <c r="AA76" s="96"/>
      <c r="AB76" s="96"/>
      <c r="AD76" s="96"/>
      <c r="AE76" s="96"/>
      <c r="AF76" s="96"/>
      <c r="AG76" s="96"/>
      <c r="AH76" s="96"/>
    </row>
    <row r="77" spans="1:35" ht="14.45" customHeight="1">
      <c r="A77" s="153"/>
      <c r="B77" s="299" t="s">
        <v>132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AA77" s="153"/>
      <c r="AD77" s="96"/>
      <c r="AE77" s="96"/>
      <c r="AF77" s="96"/>
      <c r="AG77" s="96"/>
      <c r="AH77" s="96"/>
    </row>
    <row r="78" spans="1:35" ht="19.5" customHeight="1">
      <c r="B78" s="300" t="s">
        <v>133</v>
      </c>
      <c r="C78" s="300"/>
      <c r="D78" s="300"/>
      <c r="E78" s="300"/>
      <c r="H78" s="300" t="s">
        <v>38</v>
      </c>
      <c r="I78" s="300"/>
      <c r="J78" s="300"/>
      <c r="K78" s="67"/>
      <c r="L78" s="67"/>
      <c r="M78" s="67"/>
      <c r="N78" s="301"/>
      <c r="O78" s="301"/>
      <c r="P78" s="144"/>
      <c r="Q78" s="144"/>
      <c r="R78" s="144"/>
      <c r="S78" s="301" t="s">
        <v>134</v>
      </c>
      <c r="T78" s="301"/>
      <c r="U78" s="57"/>
      <c r="V78" s="57"/>
      <c r="W78" s="57"/>
      <c r="X78" s="57"/>
      <c r="Y78" s="57"/>
      <c r="AA78" s="107"/>
    </row>
    <row r="79" spans="1:35">
      <c r="AA79" s="57"/>
    </row>
  </sheetData>
  <sheetProtection formatCells="0" selectLockedCells="1" selectUnlockedCells="1"/>
  <protectedRanges>
    <protectedRange password="C60F" sqref="P77:S77" name="範圍1_1"/>
  </protectedRanges>
  <mergeCells count="285">
    <mergeCell ref="V43:V45"/>
    <mergeCell ref="P34:P45"/>
    <mergeCell ref="W37:W39"/>
    <mergeCell ref="T40:T42"/>
    <mergeCell ref="V37:V39"/>
    <mergeCell ref="V40:V42"/>
    <mergeCell ref="S43:S45"/>
    <mergeCell ref="X40:X42"/>
    <mergeCell ref="H78:J78"/>
    <mergeCell ref="S78:T78"/>
    <mergeCell ref="X56:X58"/>
    <mergeCell ref="T53:T55"/>
    <mergeCell ref="Q47:Q49"/>
    <mergeCell ref="Q50:Q52"/>
    <mergeCell ref="R47:R49"/>
    <mergeCell ref="W56:W58"/>
    <mergeCell ref="J47:J58"/>
    <mergeCell ref="J60:J71"/>
    <mergeCell ref="K60:K71"/>
    <mergeCell ref="L60:L71"/>
    <mergeCell ref="X43:X45"/>
    <mergeCell ref="W43:W45"/>
    <mergeCell ref="W40:W42"/>
    <mergeCell ref="X69:X71"/>
    <mergeCell ref="B78:E78"/>
    <mergeCell ref="B77:Y77"/>
    <mergeCell ref="J21:J32"/>
    <mergeCell ref="K21:K32"/>
    <mergeCell ref="L21:L32"/>
    <mergeCell ref="S30:S32"/>
    <mergeCell ref="E24:E26"/>
    <mergeCell ref="Q37:Q39"/>
    <mergeCell ref="R37:R39"/>
    <mergeCell ref="T37:T39"/>
    <mergeCell ref="T43:T45"/>
    <mergeCell ref="X37:X39"/>
    <mergeCell ref="U37:U39"/>
    <mergeCell ref="S37:S39"/>
    <mergeCell ref="F73:Y76"/>
    <mergeCell ref="B47:B58"/>
    <mergeCell ref="S27:S29"/>
    <mergeCell ref="R27:R29"/>
    <mergeCell ref="C47:C58"/>
    <mergeCell ref="D47:D58"/>
    <mergeCell ref="B46:D46"/>
    <mergeCell ref="B59:D59"/>
    <mergeCell ref="E47:E49"/>
    <mergeCell ref="V53:V55"/>
    <mergeCell ref="E2:G2"/>
    <mergeCell ref="H2:O2"/>
    <mergeCell ref="P2:U2"/>
    <mergeCell ref="N8:N19"/>
    <mergeCell ref="T8:T10"/>
    <mergeCell ref="R8:R10"/>
    <mergeCell ref="U8:U10"/>
    <mergeCell ref="Q8:Q10"/>
    <mergeCell ref="E21:E23"/>
    <mergeCell ref="Q21:Q23"/>
    <mergeCell ref="N21:N32"/>
    <mergeCell ref="P21:P32"/>
    <mergeCell ref="U24:U26"/>
    <mergeCell ref="T24:T26"/>
    <mergeCell ref="R30:R32"/>
    <mergeCell ref="Q30:Q32"/>
    <mergeCell ref="M21:M32"/>
    <mergeCell ref="G4:G7"/>
    <mergeCell ref="I4:I7"/>
    <mergeCell ref="E8:E10"/>
    <mergeCell ref="E11:E13"/>
    <mergeCell ref="E17:E19"/>
    <mergeCell ref="J8:J19"/>
    <mergeCell ref="K8:K19"/>
    <mergeCell ref="Y3:Y7"/>
    <mergeCell ref="Q4:Q7"/>
    <mergeCell ref="U30:U32"/>
    <mergeCell ref="V30:V32"/>
    <mergeCell ref="W24:W26"/>
    <mergeCell ref="X24:X26"/>
    <mergeCell ref="V14:V16"/>
    <mergeCell ref="V17:V19"/>
    <mergeCell ref="T17:T19"/>
    <mergeCell ref="Q17:Q19"/>
    <mergeCell ref="R21:R23"/>
    <mergeCell ref="U21:U23"/>
    <mergeCell ref="X21:X23"/>
    <mergeCell ref="V24:V26"/>
    <mergeCell ref="Y8:Y19"/>
    <mergeCell ref="T27:T29"/>
    <mergeCell ref="S21:S23"/>
    <mergeCell ref="T21:T23"/>
    <mergeCell ref="Y21:Y32"/>
    <mergeCell ref="W21:W23"/>
    <mergeCell ref="W30:W32"/>
    <mergeCell ref="U27:U29"/>
    <mergeCell ref="X30:X32"/>
    <mergeCell ref="V21:V23"/>
    <mergeCell ref="P1:V1"/>
    <mergeCell ref="W4:W6"/>
    <mergeCell ref="X4:X6"/>
    <mergeCell ref="Q11:Q13"/>
    <mergeCell ref="R11:R13"/>
    <mergeCell ref="S11:S13"/>
    <mergeCell ref="T11:T13"/>
    <mergeCell ref="U11:U13"/>
    <mergeCell ref="R4:R7"/>
    <mergeCell ref="Q3:S3"/>
    <mergeCell ref="V8:V10"/>
    <mergeCell ref="P8:P19"/>
    <mergeCell ref="Q14:Q16"/>
    <mergeCell ref="S17:S19"/>
    <mergeCell ref="J4:P4"/>
    <mergeCell ref="V2:X2"/>
    <mergeCell ref="U4:U6"/>
    <mergeCell ref="T4:T6"/>
    <mergeCell ref="V4:V6"/>
    <mergeCell ref="T3:X3"/>
    <mergeCell ref="M8:M19"/>
    <mergeCell ref="S4:S7"/>
    <mergeCell ref="W11:W13"/>
    <mergeCell ref="L8:L19"/>
    <mergeCell ref="E50:E52"/>
    <mergeCell ref="U53:U55"/>
    <mergeCell ref="T47:T49"/>
    <mergeCell ref="R50:R52"/>
    <mergeCell ref="S50:S52"/>
    <mergeCell ref="T50:T52"/>
    <mergeCell ref="U56:U58"/>
    <mergeCell ref="W50:W52"/>
    <mergeCell ref="X50:X52"/>
    <mergeCell ref="V47:V49"/>
    <mergeCell ref="U47:U49"/>
    <mergeCell ref="V56:V58"/>
    <mergeCell ref="X53:X55"/>
    <mergeCell ref="E60:E62"/>
    <mergeCell ref="E66:E68"/>
    <mergeCell ref="S60:S62"/>
    <mergeCell ref="E63:E65"/>
    <mergeCell ref="N34:N45"/>
    <mergeCell ref="E56:E58"/>
    <mergeCell ref="R56:R58"/>
    <mergeCell ref="L47:L58"/>
    <mergeCell ref="S47:S49"/>
    <mergeCell ref="S53:S55"/>
    <mergeCell ref="N47:N58"/>
    <mergeCell ref="M47:M58"/>
    <mergeCell ref="S56:S58"/>
    <mergeCell ref="R53:R55"/>
    <mergeCell ref="P47:P58"/>
    <mergeCell ref="Q53:Q55"/>
    <mergeCell ref="E46:Y46"/>
    <mergeCell ref="Y60:Y71"/>
    <mergeCell ref="T56:T58"/>
    <mergeCell ref="E59:Y59"/>
    <mergeCell ref="Q56:Q58"/>
    <mergeCell ref="Y47:Y58"/>
    <mergeCell ref="X47:X49"/>
    <mergeCell ref="U50:U52"/>
    <mergeCell ref="B3:B7"/>
    <mergeCell ref="C3:C7"/>
    <mergeCell ref="D3:D7"/>
    <mergeCell ref="E3:P3"/>
    <mergeCell ref="J5:J7"/>
    <mergeCell ref="K5:K7"/>
    <mergeCell ref="L5:L7"/>
    <mergeCell ref="M5:M7"/>
    <mergeCell ref="D8:D19"/>
    <mergeCell ref="N5:N7"/>
    <mergeCell ref="O5:O7"/>
    <mergeCell ref="P5:P7"/>
    <mergeCell ref="E4:E7"/>
    <mergeCell ref="F4:F7"/>
    <mergeCell ref="H4:H7"/>
    <mergeCell ref="E40:E42"/>
    <mergeCell ref="B34:B45"/>
    <mergeCell ref="C34:C45"/>
    <mergeCell ref="D34:D45"/>
    <mergeCell ref="K47:K58"/>
    <mergeCell ref="V50:V52"/>
    <mergeCell ref="E14:E16"/>
    <mergeCell ref="B33:D33"/>
    <mergeCell ref="B20:D20"/>
    <mergeCell ref="Q40:Q42"/>
    <mergeCell ref="U43:U45"/>
    <mergeCell ref="U40:U42"/>
    <mergeCell ref="E27:E29"/>
    <mergeCell ref="E43:E45"/>
    <mergeCell ref="M34:M45"/>
    <mergeCell ref="T30:T32"/>
    <mergeCell ref="B21:B32"/>
    <mergeCell ref="C21:C32"/>
    <mergeCell ref="D21:D32"/>
    <mergeCell ref="Q24:Q26"/>
    <mergeCell ref="R24:R26"/>
    <mergeCell ref="S24:S26"/>
    <mergeCell ref="K34:K45"/>
    <mergeCell ref="L34:L45"/>
    <mergeCell ref="E30:E32"/>
    <mergeCell ref="J34:J45"/>
    <mergeCell ref="X8:X10"/>
    <mergeCell ref="B8:B19"/>
    <mergeCell ref="C8:C19"/>
    <mergeCell ref="O8:O19"/>
    <mergeCell ref="X27:X29"/>
    <mergeCell ref="U17:U19"/>
    <mergeCell ref="W27:W29"/>
    <mergeCell ref="Q27:Q29"/>
    <mergeCell ref="T14:T16"/>
    <mergeCell ref="V11:V13"/>
    <mergeCell ref="W8:W10"/>
    <mergeCell ref="W14:W16"/>
    <mergeCell ref="W17:W19"/>
    <mergeCell ref="U14:U16"/>
    <mergeCell ref="R17:R19"/>
    <mergeCell ref="V27:V29"/>
    <mergeCell ref="X14:X16"/>
    <mergeCell ref="X17:X19"/>
    <mergeCell ref="E20:Y20"/>
    <mergeCell ref="S8:S10"/>
    <mergeCell ref="R14:R16"/>
    <mergeCell ref="S14:S16"/>
    <mergeCell ref="O21:O32"/>
    <mergeCell ref="X11:X13"/>
    <mergeCell ref="B60:B71"/>
    <mergeCell ref="C60:C71"/>
    <mergeCell ref="D60:D71"/>
    <mergeCell ref="B73:E76"/>
    <mergeCell ref="B72:D72"/>
    <mergeCell ref="E72:Y72"/>
    <mergeCell ref="W66:W68"/>
    <mergeCell ref="X66:X68"/>
    <mergeCell ref="X60:X62"/>
    <mergeCell ref="W69:W71"/>
    <mergeCell ref="W60:W62"/>
    <mergeCell ref="V66:V68"/>
    <mergeCell ref="S63:S65"/>
    <mergeCell ref="U63:U65"/>
    <mergeCell ref="V63:V65"/>
    <mergeCell ref="W63:W65"/>
    <mergeCell ref="V60:V62"/>
    <mergeCell ref="V69:V71"/>
    <mergeCell ref="Q60:Q62"/>
    <mergeCell ref="R60:R62"/>
    <mergeCell ref="N60:N71"/>
    <mergeCell ref="O60:O71"/>
    <mergeCell ref="S69:S71"/>
    <mergeCell ref="N78:O78"/>
    <mergeCell ref="Q66:Q68"/>
    <mergeCell ref="P60:P71"/>
    <mergeCell ref="R66:R68"/>
    <mergeCell ref="S66:S68"/>
    <mergeCell ref="T69:T71"/>
    <mergeCell ref="T66:T68"/>
    <mergeCell ref="U66:U68"/>
    <mergeCell ref="U69:U71"/>
    <mergeCell ref="T60:T62"/>
    <mergeCell ref="T63:T65"/>
    <mergeCell ref="Q69:Q71"/>
    <mergeCell ref="Q63:Q65"/>
    <mergeCell ref="R69:R71"/>
    <mergeCell ref="R63:R65"/>
    <mergeCell ref="U60:U62"/>
    <mergeCell ref="E69:E71"/>
    <mergeCell ref="X63:X65"/>
    <mergeCell ref="E33:Y33"/>
    <mergeCell ref="Q43:Q45"/>
    <mergeCell ref="R40:R42"/>
    <mergeCell ref="E37:E39"/>
    <mergeCell ref="M60:M71"/>
    <mergeCell ref="O34:O45"/>
    <mergeCell ref="S40:S42"/>
    <mergeCell ref="R43:R45"/>
    <mergeCell ref="E34:E36"/>
    <mergeCell ref="Q34:Q36"/>
    <mergeCell ref="R34:R36"/>
    <mergeCell ref="S34:S36"/>
    <mergeCell ref="T34:T36"/>
    <mergeCell ref="U34:U36"/>
    <mergeCell ref="V34:V36"/>
    <mergeCell ref="W34:W36"/>
    <mergeCell ref="X34:X36"/>
    <mergeCell ref="Y34:Y45"/>
    <mergeCell ref="W53:W55"/>
    <mergeCell ref="E53:E55"/>
    <mergeCell ref="O47:O58"/>
    <mergeCell ref="W47:W49"/>
  </mergeCells>
  <phoneticPr fontId="3" type="noConversion"/>
  <printOptions horizontalCentered="1" verticalCentered="1"/>
  <pageMargins left="0.59055118110236227" right="0.39370078740157483" top="0.19685039370078741" bottom="0" header="0" footer="0"/>
  <pageSetup paperSize="8" scale="120" orientation="portrait" r:id="rId1"/>
  <headerFooter alignWithMargins="0"/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/>
  <dimension ref="A1:M114"/>
  <sheetViews>
    <sheetView topLeftCell="D6" workbookViewId="0">
      <selection activeCell="I20" sqref="I20"/>
    </sheetView>
  </sheetViews>
  <sheetFormatPr defaultRowHeight="16.5"/>
  <cols>
    <col min="1" max="1" width="15.625" customWidth="1"/>
    <col min="2" max="3" width="8.75" customWidth="1"/>
    <col min="4" max="4" width="8.375" customWidth="1"/>
    <col min="5" max="5" width="7.75" customWidth="1"/>
    <col min="6" max="6" width="7.5" customWidth="1"/>
  </cols>
  <sheetData>
    <row r="1" spans="1:13">
      <c r="A1" t="s">
        <v>22</v>
      </c>
    </row>
    <row r="2" spans="1:1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13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>
      <c r="A17" s="28" t="s">
        <v>21</v>
      </c>
      <c r="B17" s="34"/>
      <c r="C17" s="35"/>
      <c r="D17" s="36"/>
      <c r="E17" s="36"/>
      <c r="F17" s="36"/>
    </row>
    <row r="18" spans="1:6">
      <c r="B18" t="s">
        <v>27</v>
      </c>
      <c r="D18" t="s">
        <v>28</v>
      </c>
      <c r="E18" t="s">
        <v>29</v>
      </c>
      <c r="F18" t="s">
        <v>30</v>
      </c>
    </row>
    <row r="20" spans="1:6">
      <c r="A20" t="s">
        <v>31</v>
      </c>
    </row>
    <row r="21" spans="1:6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>
      <c r="A36" s="28" t="s">
        <v>21</v>
      </c>
      <c r="B36" s="34"/>
      <c r="C36" s="35"/>
      <c r="D36" s="36"/>
      <c r="E36" s="36"/>
      <c r="F36" s="36"/>
    </row>
    <row r="37" spans="1:6">
      <c r="B37" t="s">
        <v>27</v>
      </c>
      <c r="D37" t="s">
        <v>28</v>
      </c>
      <c r="E37" t="s">
        <v>29</v>
      </c>
      <c r="F37" t="s">
        <v>30</v>
      </c>
    </row>
    <row r="39" spans="1:6">
      <c r="A39" t="s">
        <v>33</v>
      </c>
    </row>
    <row r="40" spans="1:6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>
      <c r="A55" s="28" t="s">
        <v>21</v>
      </c>
      <c r="B55" s="34"/>
      <c r="C55" s="35"/>
      <c r="D55" s="36"/>
      <c r="E55" s="36"/>
      <c r="F55" s="36"/>
    </row>
    <row r="56" spans="1:6">
      <c r="B56" t="s">
        <v>27</v>
      </c>
      <c r="D56" t="s">
        <v>28</v>
      </c>
      <c r="E56" t="s">
        <v>29</v>
      </c>
      <c r="F56" t="s">
        <v>30</v>
      </c>
    </row>
    <row r="58" spans="1:6">
      <c r="A58" t="s">
        <v>34</v>
      </c>
    </row>
    <row r="59" spans="1:6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>
      <c r="A74" s="28" t="s">
        <v>21</v>
      </c>
      <c r="B74" s="34"/>
      <c r="C74" s="35"/>
      <c r="D74" s="36"/>
      <c r="E74" s="36"/>
      <c r="F74" s="36"/>
    </row>
    <row r="75" spans="1:6">
      <c r="B75" t="s">
        <v>27</v>
      </c>
      <c r="D75" t="s">
        <v>28</v>
      </c>
      <c r="E75" t="s">
        <v>29</v>
      </c>
      <c r="F75" t="s">
        <v>30</v>
      </c>
    </row>
    <row r="77" spans="1:6">
      <c r="A77" t="s">
        <v>35</v>
      </c>
    </row>
    <row r="78" spans="1:6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>
      <c r="A93" s="28" t="s">
        <v>21</v>
      </c>
      <c r="B93" s="34"/>
      <c r="C93" s="35"/>
      <c r="D93" s="36"/>
      <c r="E93" s="36"/>
      <c r="F93" s="36"/>
    </row>
    <row r="94" spans="1:6">
      <c r="B94" t="s">
        <v>27</v>
      </c>
      <c r="D94" t="s">
        <v>28</v>
      </c>
      <c r="E94" t="s">
        <v>29</v>
      </c>
      <c r="F94" t="s">
        <v>30</v>
      </c>
    </row>
    <row r="97" spans="1:6">
      <c r="A97" t="s">
        <v>36</v>
      </c>
    </row>
    <row r="98" spans="1:6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>
      <c r="A100" s="11" t="s">
        <v>10</v>
      </c>
      <c r="B100" s="37" t="e">
        <f t="shared" ref="B100:B111" si="0">(B4+B23+B42+B61+B80)/5</f>
        <v>#REF!</v>
      </c>
      <c r="C100" s="12">
        <v>152</v>
      </c>
      <c r="D100" s="13"/>
      <c r="E100" s="14"/>
      <c r="F100" s="14"/>
    </row>
    <row r="101" spans="1:6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>
      <c r="A113" s="28" t="s">
        <v>21</v>
      </c>
      <c r="B113" s="34"/>
      <c r="C113" s="35"/>
      <c r="D113" s="36"/>
      <c r="E113" s="36"/>
      <c r="F113" s="36"/>
    </row>
    <row r="114" spans="1:6">
      <c r="B114" t="s">
        <v>27</v>
      </c>
      <c r="D114" t="s">
        <v>28</v>
      </c>
      <c r="E114" t="s">
        <v>29</v>
      </c>
      <c r="F114" t="s">
        <v>30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/>
  <dimension ref="A1:AS80"/>
  <sheetViews>
    <sheetView topLeftCell="A12" zoomScaleNormal="100" workbookViewId="0">
      <selection activeCell="Z37" sqref="Z37"/>
    </sheetView>
  </sheetViews>
  <sheetFormatPr defaultColWidth="9" defaultRowHeight="16.5"/>
  <cols>
    <col min="1" max="1" width="5.375" style="119" customWidth="1"/>
    <col min="2" max="2" width="3.625" style="92" customWidth="1"/>
    <col min="3" max="4" width="3.625" style="153" customWidth="1"/>
    <col min="5" max="5" width="11.625" style="153" customWidth="1"/>
    <col min="6" max="6" width="6.5" style="153" customWidth="1"/>
    <col min="7" max="7" width="5.625" style="153" customWidth="1"/>
    <col min="8" max="8" width="6.25" style="153" customWidth="1"/>
    <col min="9" max="9" width="3.625" style="153" customWidth="1"/>
    <col min="10" max="10" width="4" style="153" customWidth="1"/>
    <col min="11" max="11" width="3.625" style="153" customWidth="1"/>
    <col min="12" max="12" width="4" style="153" customWidth="1"/>
    <col min="13" max="13" width="3.875" style="153" customWidth="1"/>
    <col min="14" max="14" width="4.5" style="153" customWidth="1"/>
    <col min="15" max="21" width="3.875" style="153" customWidth="1"/>
    <col min="22" max="22" width="4.5" style="153" customWidth="1"/>
    <col min="23" max="25" width="3.875" style="153" customWidth="1"/>
    <col min="26" max="26" width="7" style="153" customWidth="1"/>
    <col min="27" max="27" width="12.375" style="52" customWidth="1"/>
    <col min="28" max="16384" width="9" style="153"/>
  </cols>
  <sheetData>
    <row r="1" spans="1:45" s="155" customFormat="1">
      <c r="A1" s="93"/>
      <c r="B1" s="93"/>
      <c r="F1" s="153"/>
      <c r="G1" s="153"/>
      <c r="H1" s="153"/>
      <c r="I1" s="153"/>
      <c r="P1" s="312" t="s">
        <v>136</v>
      </c>
      <c r="Q1" s="312"/>
      <c r="R1" s="312"/>
      <c r="S1" s="312"/>
      <c r="T1" s="312"/>
      <c r="U1" s="312"/>
      <c r="V1" s="312"/>
      <c r="Y1" s="73">
        <v>22</v>
      </c>
      <c r="AA1" s="153"/>
      <c r="AB1" s="153"/>
    </row>
    <row r="2" spans="1:45" s="155" customFormat="1" ht="15.75" customHeight="1">
      <c r="A2" s="170"/>
      <c r="B2" s="71"/>
      <c r="C2" s="72"/>
      <c r="D2" s="72"/>
      <c r="E2" s="224" t="s">
        <v>362</v>
      </c>
      <c r="F2" s="224"/>
      <c r="G2" s="224"/>
      <c r="H2" s="313" t="s">
        <v>186</v>
      </c>
      <c r="I2" s="313"/>
      <c r="J2" s="313"/>
      <c r="K2" s="313"/>
      <c r="L2" s="313"/>
      <c r="M2" s="313"/>
      <c r="N2" s="313"/>
      <c r="O2" s="313"/>
      <c r="P2" s="313" t="s">
        <v>138</v>
      </c>
      <c r="Q2" s="313"/>
      <c r="R2" s="313"/>
      <c r="S2" s="313"/>
      <c r="T2" s="313"/>
      <c r="U2" s="313"/>
      <c r="V2" s="297" t="s">
        <v>139</v>
      </c>
      <c r="W2" s="297"/>
      <c r="X2" s="297"/>
      <c r="Y2" s="153">
        <v>5</v>
      </c>
      <c r="Z2" s="84"/>
      <c r="AA2" s="153"/>
      <c r="AB2" s="153"/>
    </row>
    <row r="3" spans="1:45" s="155" customFormat="1" ht="12.95" customHeight="1">
      <c r="A3" s="170"/>
      <c r="B3" s="307" t="s">
        <v>135</v>
      </c>
      <c r="C3" s="248" t="s">
        <v>140</v>
      </c>
      <c r="D3" s="248" t="s">
        <v>141</v>
      </c>
      <c r="E3" s="249" t="s">
        <v>142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9" t="s">
        <v>143</v>
      </c>
      <c r="R3" s="250"/>
      <c r="S3" s="251"/>
      <c r="T3" s="249" t="s">
        <v>144</v>
      </c>
      <c r="U3" s="250"/>
      <c r="V3" s="250"/>
      <c r="W3" s="250"/>
      <c r="X3" s="251"/>
      <c r="Y3" s="248" t="s">
        <v>145</v>
      </c>
      <c r="Z3" s="84"/>
      <c r="AA3" s="153"/>
      <c r="AB3" s="153"/>
    </row>
    <row r="4" spans="1:45" s="155" customFormat="1" ht="12.95" customHeight="1">
      <c r="A4" s="170"/>
      <c r="B4" s="308"/>
      <c r="C4" s="310"/>
      <c r="D4" s="310"/>
      <c r="E4" s="244" t="s">
        <v>86</v>
      </c>
      <c r="F4" s="246" t="s">
        <v>39</v>
      </c>
      <c r="G4" s="227" t="s">
        <v>47</v>
      </c>
      <c r="H4" s="246" t="s">
        <v>39</v>
      </c>
      <c r="I4" s="227" t="s">
        <v>47</v>
      </c>
      <c r="J4" s="249" t="s">
        <v>41</v>
      </c>
      <c r="K4" s="250"/>
      <c r="L4" s="250"/>
      <c r="M4" s="250"/>
      <c r="N4" s="250"/>
      <c r="O4" s="250"/>
      <c r="P4" s="251"/>
      <c r="Q4" s="248" t="s">
        <v>146</v>
      </c>
      <c r="R4" s="248" t="s">
        <v>147</v>
      </c>
      <c r="S4" s="248" t="s">
        <v>148</v>
      </c>
      <c r="T4" s="248" t="s">
        <v>149</v>
      </c>
      <c r="U4" s="248" t="s">
        <v>150</v>
      </c>
      <c r="V4" s="248" t="s">
        <v>151</v>
      </c>
      <c r="W4" s="248" t="s">
        <v>152</v>
      </c>
      <c r="X4" s="248" t="s">
        <v>153</v>
      </c>
      <c r="Y4" s="310"/>
      <c r="Z4" s="84"/>
      <c r="AA4" s="153"/>
      <c r="AB4" s="153"/>
    </row>
    <row r="5" spans="1:45" s="155" customFormat="1" ht="12.95" customHeight="1">
      <c r="A5" s="170"/>
      <c r="B5" s="308"/>
      <c r="C5" s="310"/>
      <c r="D5" s="310"/>
      <c r="E5" s="244"/>
      <c r="F5" s="246"/>
      <c r="G5" s="227"/>
      <c r="H5" s="246"/>
      <c r="I5" s="227"/>
      <c r="J5" s="227" t="s">
        <v>95</v>
      </c>
      <c r="K5" s="227" t="s">
        <v>42</v>
      </c>
      <c r="L5" s="227" t="s">
        <v>43</v>
      </c>
      <c r="M5" s="227" t="s">
        <v>44</v>
      </c>
      <c r="N5" s="227" t="s">
        <v>45</v>
      </c>
      <c r="O5" s="321" t="s">
        <v>187</v>
      </c>
      <c r="P5" s="227" t="s">
        <v>46</v>
      </c>
      <c r="Q5" s="310"/>
      <c r="R5" s="310"/>
      <c r="S5" s="310"/>
      <c r="T5" s="310"/>
      <c r="U5" s="310"/>
      <c r="V5" s="310"/>
      <c r="W5" s="310"/>
      <c r="X5" s="310"/>
      <c r="Y5" s="310"/>
      <c r="Z5" s="84"/>
      <c r="AA5" s="153"/>
      <c r="AB5" s="153"/>
    </row>
    <row r="6" spans="1:45" s="155" customFormat="1" ht="12.95" customHeight="1">
      <c r="A6" s="170"/>
      <c r="B6" s="308"/>
      <c r="C6" s="310"/>
      <c r="D6" s="310"/>
      <c r="E6" s="244"/>
      <c r="F6" s="246"/>
      <c r="G6" s="227"/>
      <c r="H6" s="246"/>
      <c r="I6" s="227"/>
      <c r="J6" s="227"/>
      <c r="K6" s="227"/>
      <c r="L6" s="227"/>
      <c r="M6" s="227"/>
      <c r="N6" s="227"/>
      <c r="O6" s="321"/>
      <c r="P6" s="227"/>
      <c r="Q6" s="310"/>
      <c r="R6" s="310"/>
      <c r="S6" s="310"/>
      <c r="T6" s="311"/>
      <c r="U6" s="311"/>
      <c r="V6" s="311"/>
      <c r="W6" s="311"/>
      <c r="X6" s="311"/>
      <c r="Y6" s="310"/>
      <c r="Z6" s="84"/>
      <c r="AA6" s="153"/>
      <c r="AB6" s="153"/>
    </row>
    <row r="7" spans="1:45" s="155" customFormat="1" ht="12.95" customHeight="1">
      <c r="A7" s="170"/>
      <c r="B7" s="309"/>
      <c r="C7" s="311"/>
      <c r="D7" s="311"/>
      <c r="E7" s="245"/>
      <c r="F7" s="247"/>
      <c r="G7" s="227"/>
      <c r="H7" s="246"/>
      <c r="I7" s="227"/>
      <c r="J7" s="227"/>
      <c r="K7" s="227"/>
      <c r="L7" s="227"/>
      <c r="M7" s="227"/>
      <c r="N7" s="227"/>
      <c r="O7" s="321"/>
      <c r="P7" s="227"/>
      <c r="Q7" s="311"/>
      <c r="R7" s="311"/>
      <c r="S7" s="311"/>
      <c r="T7" s="152">
        <v>5</v>
      </c>
      <c r="U7" s="152">
        <v>4</v>
      </c>
      <c r="V7" s="152">
        <v>3</v>
      </c>
      <c r="W7" s="152">
        <v>2</v>
      </c>
      <c r="X7" s="152">
        <v>1</v>
      </c>
      <c r="Y7" s="311"/>
      <c r="Z7" s="84"/>
      <c r="AA7" s="153"/>
      <c r="AB7" s="153"/>
    </row>
    <row r="8" spans="1:45" ht="12.95" customHeight="1">
      <c r="A8" s="153">
        <v>269</v>
      </c>
      <c r="B8" s="264">
        <v>43815</v>
      </c>
      <c r="C8" s="228" t="s">
        <v>97</v>
      </c>
      <c r="D8" s="228" t="s">
        <v>98</v>
      </c>
      <c r="E8" s="267" t="s">
        <v>272</v>
      </c>
      <c r="F8" s="117" t="s">
        <v>112</v>
      </c>
      <c r="G8" s="117">
        <f>ROUND(60*A8/1000,0)</f>
        <v>16</v>
      </c>
      <c r="H8" s="98" t="s">
        <v>50</v>
      </c>
      <c r="I8" s="117">
        <v>3</v>
      </c>
      <c r="J8" s="231">
        <v>5.3</v>
      </c>
      <c r="K8" s="231">
        <v>3.2</v>
      </c>
      <c r="L8" s="231">
        <v>0</v>
      </c>
      <c r="M8" s="231">
        <v>1.8</v>
      </c>
      <c r="N8" s="231">
        <v>0</v>
      </c>
      <c r="O8" s="231">
        <v>2.5</v>
      </c>
      <c r="P8" s="231">
        <f>SUM(J8*70+K8*75+L8*120+M8*25+N8*60+O8*45)</f>
        <v>768.5</v>
      </c>
      <c r="Q8" s="228"/>
      <c r="R8" s="228"/>
      <c r="S8" s="228"/>
      <c r="T8" s="228"/>
      <c r="U8" s="228"/>
      <c r="V8" s="228"/>
      <c r="W8" s="228"/>
      <c r="X8" s="228"/>
      <c r="Y8" s="268" t="s">
        <v>365</v>
      </c>
      <c r="Z8" s="85"/>
      <c r="AA8" s="153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</row>
    <row r="9" spans="1:45" ht="12.95" customHeight="1">
      <c r="B9" s="265"/>
      <c r="C9" s="229"/>
      <c r="D9" s="229"/>
      <c r="E9" s="244"/>
      <c r="F9" s="146" t="s">
        <v>62</v>
      </c>
      <c r="G9" s="146">
        <f>ROUND(15*A8/1000,0)</f>
        <v>4</v>
      </c>
      <c r="H9" s="59"/>
      <c r="I9" s="146"/>
      <c r="J9" s="232"/>
      <c r="K9" s="232"/>
      <c r="L9" s="232"/>
      <c r="M9" s="232"/>
      <c r="N9" s="232"/>
      <c r="O9" s="232"/>
      <c r="P9" s="232"/>
      <c r="Q9" s="229"/>
      <c r="R9" s="229"/>
      <c r="S9" s="229"/>
      <c r="T9" s="229"/>
      <c r="U9" s="229"/>
      <c r="V9" s="229"/>
      <c r="W9" s="229"/>
      <c r="X9" s="229"/>
      <c r="Y9" s="269"/>
      <c r="Z9" s="85"/>
      <c r="AA9" s="153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</row>
    <row r="10" spans="1:45" ht="12.95" customHeight="1">
      <c r="B10" s="265"/>
      <c r="C10" s="229"/>
      <c r="D10" s="229"/>
      <c r="E10" s="245"/>
      <c r="F10" s="147" t="s">
        <v>63</v>
      </c>
      <c r="G10" s="147">
        <v>0.7</v>
      </c>
      <c r="H10" s="154"/>
      <c r="I10" s="147"/>
      <c r="J10" s="232"/>
      <c r="K10" s="232"/>
      <c r="L10" s="232"/>
      <c r="M10" s="232"/>
      <c r="N10" s="232"/>
      <c r="O10" s="232"/>
      <c r="P10" s="232"/>
      <c r="Q10" s="230"/>
      <c r="R10" s="230"/>
      <c r="S10" s="230"/>
      <c r="T10" s="230"/>
      <c r="U10" s="230"/>
      <c r="V10" s="230"/>
      <c r="W10" s="230"/>
      <c r="X10" s="230"/>
      <c r="Y10" s="269"/>
      <c r="Z10" s="85"/>
      <c r="AA10" s="153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</row>
    <row r="11" spans="1:45" ht="12.95" customHeight="1">
      <c r="B11" s="265"/>
      <c r="C11" s="229"/>
      <c r="D11" s="229"/>
      <c r="E11" s="304" t="s">
        <v>429</v>
      </c>
      <c r="F11" s="90" t="s">
        <v>64</v>
      </c>
      <c r="G11" s="117">
        <f>ROUND(75*A8/1000,0)</f>
        <v>20</v>
      </c>
      <c r="H11" s="146"/>
      <c r="I11" s="146"/>
      <c r="J11" s="232"/>
      <c r="K11" s="232"/>
      <c r="L11" s="232"/>
      <c r="M11" s="232"/>
      <c r="N11" s="232"/>
      <c r="O11" s="232"/>
      <c r="P11" s="232"/>
      <c r="Q11" s="228"/>
      <c r="R11" s="228"/>
      <c r="S11" s="228"/>
      <c r="T11" s="228"/>
      <c r="U11" s="228"/>
      <c r="V11" s="228"/>
      <c r="W11" s="228"/>
      <c r="X11" s="228"/>
      <c r="Y11" s="269"/>
      <c r="AA11" s="153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</row>
    <row r="12" spans="1:45" ht="12.95" customHeight="1">
      <c r="B12" s="265"/>
      <c r="C12" s="229"/>
      <c r="D12" s="229"/>
      <c r="E12" s="305"/>
      <c r="F12" s="146" t="s">
        <v>188</v>
      </c>
      <c r="G12" s="146">
        <f>ROUND(4.5*A8/1000,1)</f>
        <v>1.2</v>
      </c>
      <c r="H12" s="59"/>
      <c r="I12" s="146"/>
      <c r="J12" s="232"/>
      <c r="K12" s="232"/>
      <c r="L12" s="232"/>
      <c r="M12" s="232"/>
      <c r="N12" s="232"/>
      <c r="O12" s="232"/>
      <c r="P12" s="232"/>
      <c r="Q12" s="229"/>
      <c r="R12" s="229"/>
      <c r="S12" s="229"/>
      <c r="T12" s="229"/>
      <c r="U12" s="229"/>
      <c r="V12" s="229"/>
      <c r="W12" s="229"/>
      <c r="X12" s="229"/>
      <c r="Y12" s="269"/>
      <c r="AA12" s="153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</row>
    <row r="13" spans="1:45" ht="12.95" customHeight="1">
      <c r="B13" s="265"/>
      <c r="C13" s="229"/>
      <c r="D13" s="229"/>
      <c r="E13" s="306"/>
      <c r="F13" s="59" t="s">
        <v>189</v>
      </c>
      <c r="G13" s="146">
        <f>ROUND(4*A8/1000,0)</f>
        <v>1</v>
      </c>
      <c r="H13" s="59"/>
      <c r="I13" s="146"/>
      <c r="J13" s="232"/>
      <c r="K13" s="232"/>
      <c r="L13" s="232"/>
      <c r="M13" s="232"/>
      <c r="N13" s="232"/>
      <c r="O13" s="232"/>
      <c r="P13" s="232"/>
      <c r="Q13" s="230"/>
      <c r="R13" s="230"/>
      <c r="S13" s="230"/>
      <c r="T13" s="230"/>
      <c r="U13" s="230"/>
      <c r="V13" s="230"/>
      <c r="W13" s="230"/>
      <c r="X13" s="230"/>
      <c r="Y13" s="269"/>
      <c r="AA13" s="153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</row>
    <row r="14" spans="1:45" ht="12.95" customHeight="1">
      <c r="B14" s="265"/>
      <c r="C14" s="229"/>
      <c r="D14" s="229"/>
      <c r="E14" s="247" t="s">
        <v>190</v>
      </c>
      <c r="F14" s="145" t="s">
        <v>339</v>
      </c>
      <c r="G14" s="49">
        <f>80*A8/1000</f>
        <v>21.52</v>
      </c>
      <c r="H14" s="53"/>
      <c r="I14" s="53"/>
      <c r="J14" s="232"/>
      <c r="K14" s="232"/>
      <c r="L14" s="232"/>
      <c r="M14" s="232"/>
      <c r="N14" s="232"/>
      <c r="O14" s="232"/>
      <c r="P14" s="232"/>
      <c r="Q14" s="228"/>
      <c r="R14" s="228"/>
      <c r="S14" s="228"/>
      <c r="T14" s="228"/>
      <c r="U14" s="228"/>
      <c r="V14" s="228"/>
      <c r="W14" s="228"/>
      <c r="X14" s="228"/>
      <c r="Y14" s="269"/>
      <c r="AA14" s="153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</row>
    <row r="15" spans="1:45" ht="12.95" customHeight="1">
      <c r="B15" s="265"/>
      <c r="C15" s="229"/>
      <c r="D15" s="229"/>
      <c r="E15" s="244"/>
      <c r="F15" s="156" t="s">
        <v>340</v>
      </c>
      <c r="G15" s="146">
        <v>3</v>
      </c>
      <c r="H15" s="48"/>
      <c r="I15" s="48"/>
      <c r="J15" s="232"/>
      <c r="K15" s="232"/>
      <c r="L15" s="232"/>
      <c r="M15" s="232"/>
      <c r="N15" s="232"/>
      <c r="O15" s="232"/>
      <c r="P15" s="232"/>
      <c r="Q15" s="229"/>
      <c r="R15" s="229"/>
      <c r="S15" s="229"/>
      <c r="T15" s="229"/>
      <c r="U15" s="229"/>
      <c r="V15" s="229"/>
      <c r="W15" s="229"/>
      <c r="X15" s="229"/>
      <c r="Y15" s="269"/>
      <c r="AA15" s="153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</row>
    <row r="16" spans="1:45" ht="12.95" customHeight="1">
      <c r="B16" s="265"/>
      <c r="C16" s="229"/>
      <c r="D16" s="229"/>
      <c r="E16" s="245"/>
      <c r="F16" s="147"/>
      <c r="G16" s="147"/>
      <c r="H16" s="54"/>
      <c r="I16" s="54"/>
      <c r="J16" s="232"/>
      <c r="K16" s="232"/>
      <c r="L16" s="232"/>
      <c r="M16" s="232"/>
      <c r="N16" s="232"/>
      <c r="O16" s="232"/>
      <c r="P16" s="232"/>
      <c r="Q16" s="230"/>
      <c r="R16" s="230"/>
      <c r="S16" s="230"/>
      <c r="T16" s="230"/>
      <c r="U16" s="230"/>
      <c r="V16" s="230"/>
      <c r="W16" s="230"/>
      <c r="X16" s="230"/>
      <c r="Y16" s="269"/>
      <c r="AA16" s="153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</row>
    <row r="17" spans="1:45" ht="12.95" customHeight="1">
      <c r="B17" s="265"/>
      <c r="C17" s="229"/>
      <c r="D17" s="229"/>
      <c r="E17" s="318" t="s">
        <v>273</v>
      </c>
      <c r="F17" s="118" t="s">
        <v>249</v>
      </c>
      <c r="G17" s="94">
        <f>ROUND(5.6*A8/1000,1)</f>
        <v>1.5</v>
      </c>
      <c r="H17" s="53"/>
      <c r="I17" s="53"/>
      <c r="J17" s="232"/>
      <c r="K17" s="232"/>
      <c r="L17" s="232"/>
      <c r="M17" s="232"/>
      <c r="N17" s="232"/>
      <c r="O17" s="232"/>
      <c r="P17" s="232"/>
      <c r="Q17" s="228"/>
      <c r="R17" s="228"/>
      <c r="S17" s="228"/>
      <c r="T17" s="228"/>
      <c r="U17" s="228"/>
      <c r="V17" s="228"/>
      <c r="W17" s="228"/>
      <c r="X17" s="228"/>
      <c r="Y17" s="269"/>
      <c r="AA17" s="153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</row>
    <row r="18" spans="1:45" ht="12.95" customHeight="1">
      <c r="B18" s="265"/>
      <c r="C18" s="229"/>
      <c r="D18" s="229"/>
      <c r="E18" s="319"/>
      <c r="F18" s="95" t="s">
        <v>49</v>
      </c>
      <c r="G18" s="66">
        <f>ROUND(35*A8/1000,0)</f>
        <v>9</v>
      </c>
      <c r="H18" s="48"/>
      <c r="I18" s="48"/>
      <c r="J18" s="232"/>
      <c r="K18" s="232"/>
      <c r="L18" s="232"/>
      <c r="M18" s="232"/>
      <c r="N18" s="232"/>
      <c r="O18" s="232"/>
      <c r="P18" s="232"/>
      <c r="Q18" s="229"/>
      <c r="R18" s="229"/>
      <c r="S18" s="229"/>
      <c r="T18" s="229"/>
      <c r="U18" s="229"/>
      <c r="V18" s="229"/>
      <c r="W18" s="229"/>
      <c r="X18" s="229"/>
      <c r="Y18" s="269"/>
      <c r="AA18" s="153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</row>
    <row r="19" spans="1:45" ht="12.95" customHeight="1">
      <c r="B19" s="266"/>
      <c r="C19" s="230"/>
      <c r="D19" s="229"/>
      <c r="E19" s="320"/>
      <c r="F19" s="111" t="s">
        <v>191</v>
      </c>
      <c r="G19" s="66">
        <f>10*A8/1000</f>
        <v>2.69</v>
      </c>
      <c r="H19" s="54"/>
      <c r="I19" s="54"/>
      <c r="J19" s="233"/>
      <c r="K19" s="233"/>
      <c r="L19" s="233"/>
      <c r="M19" s="233"/>
      <c r="N19" s="233"/>
      <c r="O19" s="233"/>
      <c r="P19" s="233"/>
      <c r="Q19" s="230"/>
      <c r="R19" s="230"/>
      <c r="S19" s="230"/>
      <c r="T19" s="230"/>
      <c r="U19" s="230"/>
      <c r="V19" s="230"/>
      <c r="W19" s="230"/>
      <c r="X19" s="230"/>
      <c r="Y19" s="270"/>
      <c r="AA19" s="153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</row>
    <row r="20" spans="1:45" s="68" customFormat="1" ht="12.95" customHeight="1">
      <c r="A20" s="177"/>
      <c r="B20" s="258" t="s">
        <v>37</v>
      </c>
      <c r="C20" s="259"/>
      <c r="D20" s="260"/>
      <c r="E20" s="279" t="s">
        <v>417</v>
      </c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3"/>
      <c r="AA20" s="153"/>
      <c r="AB20" s="153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</row>
    <row r="21" spans="1:45" ht="12.95" customHeight="1">
      <c r="A21" s="189">
        <v>269</v>
      </c>
      <c r="B21" s="264">
        <v>43816</v>
      </c>
      <c r="C21" s="228" t="s">
        <v>192</v>
      </c>
      <c r="D21" s="228" t="s">
        <v>367</v>
      </c>
      <c r="E21" s="267" t="s">
        <v>274</v>
      </c>
      <c r="F21" s="117" t="s">
        <v>65</v>
      </c>
      <c r="G21" s="49" t="s">
        <v>299</v>
      </c>
      <c r="H21" s="146" t="s">
        <v>193</v>
      </c>
      <c r="I21" s="83">
        <f>ROUND(1*A21/1000,1)</f>
        <v>0.3</v>
      </c>
      <c r="J21" s="231">
        <v>5</v>
      </c>
      <c r="K21" s="231">
        <v>2.5</v>
      </c>
      <c r="L21" s="231">
        <v>0</v>
      </c>
      <c r="M21" s="231">
        <v>1.7</v>
      </c>
      <c r="N21" s="231">
        <v>0</v>
      </c>
      <c r="O21" s="231">
        <v>2.5</v>
      </c>
      <c r="P21" s="231">
        <f>SUM(J21*70+K21*75+L21*120+M21*25+N21*60+O21*45)</f>
        <v>692.5</v>
      </c>
      <c r="Q21" s="228"/>
      <c r="R21" s="228"/>
      <c r="S21" s="228"/>
      <c r="T21" s="228"/>
      <c r="U21" s="228"/>
      <c r="V21" s="228"/>
      <c r="W21" s="228"/>
      <c r="X21" s="228"/>
      <c r="Y21" s="228"/>
      <c r="AA21" s="153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</row>
    <row r="22" spans="1:45" ht="12.95" customHeight="1">
      <c r="A22" s="190"/>
      <c r="B22" s="265"/>
      <c r="C22" s="229"/>
      <c r="D22" s="229"/>
      <c r="E22" s="244"/>
      <c r="F22" s="146" t="s">
        <v>66</v>
      </c>
      <c r="G22" s="50">
        <f>30*A21/1000</f>
        <v>8.07</v>
      </c>
      <c r="H22" s="112"/>
      <c r="I22" s="87"/>
      <c r="J22" s="232"/>
      <c r="K22" s="232"/>
      <c r="L22" s="232"/>
      <c r="M22" s="232"/>
      <c r="N22" s="232"/>
      <c r="O22" s="232"/>
      <c r="P22" s="232"/>
      <c r="Q22" s="229"/>
      <c r="R22" s="229"/>
      <c r="S22" s="229"/>
      <c r="T22" s="229"/>
      <c r="U22" s="229"/>
      <c r="V22" s="229"/>
      <c r="W22" s="229"/>
      <c r="X22" s="229"/>
      <c r="Y22" s="229"/>
      <c r="AA22" s="153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</row>
    <row r="23" spans="1:45" ht="12.95" customHeight="1">
      <c r="A23" s="190"/>
      <c r="B23" s="265"/>
      <c r="C23" s="229"/>
      <c r="D23" s="229"/>
      <c r="E23" s="245"/>
      <c r="F23" s="147" t="s">
        <v>194</v>
      </c>
      <c r="G23" s="147">
        <f>ROUND(1.3*A21/1000,1)</f>
        <v>0.3</v>
      </c>
      <c r="H23" s="113"/>
      <c r="I23" s="88"/>
      <c r="J23" s="232"/>
      <c r="K23" s="232"/>
      <c r="L23" s="232"/>
      <c r="M23" s="232"/>
      <c r="N23" s="232"/>
      <c r="O23" s="232"/>
      <c r="P23" s="232"/>
      <c r="Q23" s="230"/>
      <c r="R23" s="230"/>
      <c r="S23" s="230"/>
      <c r="T23" s="230"/>
      <c r="U23" s="230"/>
      <c r="V23" s="230"/>
      <c r="W23" s="230"/>
      <c r="X23" s="230"/>
      <c r="Y23" s="229"/>
      <c r="AA23" s="153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</row>
    <row r="24" spans="1:45" ht="12.95" customHeight="1">
      <c r="A24" s="190"/>
      <c r="B24" s="265"/>
      <c r="C24" s="229"/>
      <c r="D24" s="229"/>
      <c r="E24" s="267" t="s">
        <v>275</v>
      </c>
      <c r="F24" s="146" t="s">
        <v>67</v>
      </c>
      <c r="G24" s="195">
        <v>13</v>
      </c>
      <c r="H24" s="59" t="s">
        <v>68</v>
      </c>
      <c r="I24" s="146" t="s">
        <v>69</v>
      </c>
      <c r="J24" s="232"/>
      <c r="K24" s="232"/>
      <c r="L24" s="232"/>
      <c r="M24" s="232"/>
      <c r="N24" s="232"/>
      <c r="O24" s="232"/>
      <c r="P24" s="232"/>
      <c r="Q24" s="228"/>
      <c r="R24" s="228"/>
      <c r="S24" s="228"/>
      <c r="T24" s="228"/>
      <c r="U24" s="228"/>
      <c r="V24" s="228"/>
      <c r="W24" s="228"/>
      <c r="X24" s="228"/>
      <c r="Y24" s="229"/>
      <c r="AA24" s="153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</row>
    <row r="25" spans="1:45" ht="12.95" customHeight="1">
      <c r="A25" s="190"/>
      <c r="B25" s="265"/>
      <c r="C25" s="229"/>
      <c r="D25" s="229"/>
      <c r="E25" s="244"/>
      <c r="F25" s="146" t="s">
        <v>70</v>
      </c>
      <c r="G25" s="146">
        <f>ROUND(6*A21/1000,0)</f>
        <v>2</v>
      </c>
      <c r="H25" s="146"/>
      <c r="I25" s="146"/>
      <c r="J25" s="232"/>
      <c r="K25" s="232"/>
      <c r="L25" s="232"/>
      <c r="M25" s="232"/>
      <c r="N25" s="232"/>
      <c r="O25" s="232"/>
      <c r="P25" s="232"/>
      <c r="Q25" s="229"/>
      <c r="R25" s="229"/>
      <c r="S25" s="229"/>
      <c r="T25" s="229"/>
      <c r="U25" s="229"/>
      <c r="V25" s="229"/>
      <c r="W25" s="229"/>
      <c r="X25" s="229"/>
      <c r="Y25" s="229"/>
      <c r="AA25" s="153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</row>
    <row r="26" spans="1:45" ht="12.95" customHeight="1">
      <c r="A26" s="190"/>
      <c r="B26" s="265"/>
      <c r="C26" s="229"/>
      <c r="D26" s="229"/>
      <c r="E26" s="245"/>
      <c r="F26" s="156" t="s">
        <v>276</v>
      </c>
      <c r="G26" s="146">
        <f>ROUND(5*A21/1000,0)</f>
        <v>1</v>
      </c>
      <c r="H26" s="147"/>
      <c r="I26" s="99"/>
      <c r="J26" s="232"/>
      <c r="K26" s="232"/>
      <c r="L26" s="232"/>
      <c r="M26" s="232"/>
      <c r="N26" s="232"/>
      <c r="O26" s="232"/>
      <c r="P26" s="232"/>
      <c r="Q26" s="230"/>
      <c r="R26" s="230"/>
      <c r="S26" s="230"/>
      <c r="T26" s="230"/>
      <c r="U26" s="230"/>
      <c r="V26" s="230"/>
      <c r="W26" s="230"/>
      <c r="X26" s="230"/>
      <c r="Y26" s="229"/>
      <c r="AA26" s="153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</row>
    <row r="27" spans="1:45" ht="12.95" customHeight="1">
      <c r="A27" s="190"/>
      <c r="B27" s="265"/>
      <c r="C27" s="229"/>
      <c r="D27" s="229"/>
      <c r="E27" s="247" t="s">
        <v>178</v>
      </c>
      <c r="F27" s="145" t="s">
        <v>341</v>
      </c>
      <c r="G27" s="49">
        <v>21.52</v>
      </c>
      <c r="H27" s="117"/>
      <c r="I27" s="117"/>
      <c r="J27" s="232"/>
      <c r="K27" s="232"/>
      <c r="L27" s="232"/>
      <c r="M27" s="232"/>
      <c r="N27" s="232"/>
      <c r="O27" s="232"/>
      <c r="P27" s="232"/>
      <c r="Q27" s="228"/>
      <c r="R27" s="228"/>
      <c r="S27" s="228"/>
      <c r="T27" s="228"/>
      <c r="U27" s="228"/>
      <c r="V27" s="228"/>
      <c r="W27" s="228"/>
      <c r="X27" s="228"/>
      <c r="Y27" s="229"/>
      <c r="AA27" s="153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</row>
    <row r="28" spans="1:45" ht="12.95" customHeight="1">
      <c r="A28" s="190"/>
      <c r="B28" s="265"/>
      <c r="C28" s="229"/>
      <c r="D28" s="229"/>
      <c r="E28" s="244"/>
      <c r="F28" s="156" t="s">
        <v>342</v>
      </c>
      <c r="G28" s="156" t="s">
        <v>343</v>
      </c>
      <c r="H28" s="146"/>
      <c r="I28" s="146"/>
      <c r="J28" s="232"/>
      <c r="K28" s="232"/>
      <c r="L28" s="232"/>
      <c r="M28" s="232"/>
      <c r="N28" s="232"/>
      <c r="O28" s="232"/>
      <c r="P28" s="232"/>
      <c r="Q28" s="229"/>
      <c r="R28" s="229"/>
      <c r="S28" s="229"/>
      <c r="T28" s="229"/>
      <c r="U28" s="229"/>
      <c r="V28" s="229"/>
      <c r="W28" s="229"/>
      <c r="X28" s="229"/>
      <c r="Y28" s="229"/>
      <c r="AA28" s="153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</row>
    <row r="29" spans="1:45" ht="12.95" customHeight="1">
      <c r="A29" s="190"/>
      <c r="B29" s="265"/>
      <c r="C29" s="229"/>
      <c r="D29" s="229"/>
      <c r="E29" s="245"/>
      <c r="F29" s="147"/>
      <c r="G29" s="147"/>
      <c r="H29" s="147"/>
      <c r="I29" s="147"/>
      <c r="J29" s="232"/>
      <c r="K29" s="232"/>
      <c r="L29" s="232"/>
      <c r="M29" s="232"/>
      <c r="N29" s="232"/>
      <c r="O29" s="232"/>
      <c r="P29" s="232"/>
      <c r="Q29" s="230"/>
      <c r="R29" s="230"/>
      <c r="S29" s="230"/>
      <c r="T29" s="230"/>
      <c r="U29" s="230"/>
      <c r="V29" s="230"/>
      <c r="W29" s="230"/>
      <c r="X29" s="230"/>
      <c r="Y29" s="229"/>
      <c r="AA29" s="153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</row>
    <row r="30" spans="1:45" ht="12.95" customHeight="1">
      <c r="A30" s="190"/>
      <c r="B30" s="265"/>
      <c r="C30" s="229"/>
      <c r="D30" s="229"/>
      <c r="E30" s="317" t="s">
        <v>277</v>
      </c>
      <c r="F30" s="117" t="s">
        <v>195</v>
      </c>
      <c r="G30" s="202">
        <v>0.3</v>
      </c>
      <c r="H30" s="53"/>
      <c r="I30" s="53"/>
      <c r="J30" s="232"/>
      <c r="K30" s="232"/>
      <c r="L30" s="232"/>
      <c r="M30" s="232"/>
      <c r="N30" s="232"/>
      <c r="O30" s="232"/>
      <c r="P30" s="232"/>
      <c r="Q30" s="228"/>
      <c r="R30" s="228"/>
      <c r="S30" s="228"/>
      <c r="T30" s="228"/>
      <c r="U30" s="228"/>
      <c r="V30" s="228"/>
      <c r="W30" s="228"/>
      <c r="X30" s="228"/>
      <c r="Y30" s="229"/>
      <c r="AA30" s="153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</row>
    <row r="31" spans="1:45" ht="12.95" customHeight="1">
      <c r="A31" s="190"/>
      <c r="B31" s="265"/>
      <c r="C31" s="229"/>
      <c r="D31" s="229"/>
      <c r="E31" s="256"/>
      <c r="F31" s="146" t="s">
        <v>72</v>
      </c>
      <c r="G31" s="195">
        <v>4.8</v>
      </c>
      <c r="H31" s="48"/>
      <c r="I31" s="48"/>
      <c r="J31" s="232"/>
      <c r="K31" s="232"/>
      <c r="L31" s="232"/>
      <c r="M31" s="232"/>
      <c r="N31" s="232"/>
      <c r="O31" s="232"/>
      <c r="P31" s="232"/>
      <c r="Q31" s="229"/>
      <c r="R31" s="229"/>
      <c r="S31" s="229"/>
      <c r="T31" s="229"/>
      <c r="U31" s="229"/>
      <c r="V31" s="229"/>
      <c r="W31" s="229"/>
      <c r="X31" s="229"/>
      <c r="Y31" s="229"/>
      <c r="AA31" s="153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</row>
    <row r="32" spans="1:45" ht="12.95" customHeight="1">
      <c r="A32" s="190"/>
      <c r="B32" s="266"/>
      <c r="C32" s="230"/>
      <c r="D32" s="229"/>
      <c r="E32" s="257"/>
      <c r="F32" s="54" t="s">
        <v>196</v>
      </c>
      <c r="G32" s="54">
        <f>ROUND(0.6*A21/1000,1)</f>
        <v>0.2</v>
      </c>
      <c r="H32" s="54"/>
      <c r="I32" s="54"/>
      <c r="J32" s="233"/>
      <c r="K32" s="233"/>
      <c r="L32" s="233"/>
      <c r="M32" s="233"/>
      <c r="N32" s="233"/>
      <c r="O32" s="233"/>
      <c r="P32" s="233"/>
      <c r="Q32" s="230"/>
      <c r="R32" s="230"/>
      <c r="S32" s="230"/>
      <c r="T32" s="230"/>
      <c r="U32" s="230"/>
      <c r="V32" s="230"/>
      <c r="W32" s="230"/>
      <c r="X32" s="230"/>
      <c r="Y32" s="230"/>
      <c r="AA32" s="153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</row>
    <row r="33" spans="1:35" s="68" customFormat="1" ht="12.95" customHeight="1">
      <c r="A33" s="191"/>
      <c r="B33" s="258" t="s">
        <v>37</v>
      </c>
      <c r="C33" s="259"/>
      <c r="D33" s="260"/>
      <c r="E33" s="279" t="s">
        <v>418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3"/>
      <c r="Z33" s="213"/>
      <c r="AA33" s="213"/>
      <c r="AB33" s="153"/>
      <c r="AC33" s="155"/>
      <c r="AD33" s="155"/>
      <c r="AE33" s="155"/>
      <c r="AF33" s="155"/>
      <c r="AG33" s="155"/>
      <c r="AH33" s="155"/>
    </row>
    <row r="34" spans="1:35" ht="12.95" customHeight="1">
      <c r="A34" s="189">
        <v>269</v>
      </c>
      <c r="B34" s="264">
        <v>43817</v>
      </c>
      <c r="C34" s="228" t="s">
        <v>111</v>
      </c>
      <c r="D34" s="307" t="s">
        <v>397</v>
      </c>
      <c r="E34" s="255" t="s">
        <v>371</v>
      </c>
      <c r="F34" s="145" t="s">
        <v>372</v>
      </c>
      <c r="G34" s="75">
        <v>6</v>
      </c>
      <c r="H34" s="98" t="s">
        <v>357</v>
      </c>
      <c r="I34" s="117">
        <f>ROUND(2*A34/1000,1)</f>
        <v>0.5</v>
      </c>
      <c r="J34" s="231">
        <v>5</v>
      </c>
      <c r="K34" s="231">
        <v>0.8</v>
      </c>
      <c r="L34" s="231">
        <v>0</v>
      </c>
      <c r="M34" s="231">
        <v>0.74</v>
      </c>
      <c r="N34" s="231">
        <v>1</v>
      </c>
      <c r="O34" s="231">
        <v>2.5</v>
      </c>
      <c r="P34" s="231">
        <f>K34*75+J34*70+L34*120+M34*25+N34*60+O34*45</f>
        <v>601</v>
      </c>
      <c r="Q34" s="228"/>
      <c r="R34" s="228"/>
      <c r="S34" s="228"/>
      <c r="T34" s="228"/>
      <c r="U34" s="228"/>
      <c r="V34" s="228"/>
      <c r="W34" s="228"/>
      <c r="X34" s="228"/>
      <c r="Y34" s="228"/>
      <c r="Z34" s="213"/>
      <c r="AA34" s="213"/>
      <c r="AC34" s="155"/>
      <c r="AD34" s="155"/>
      <c r="AE34" s="155"/>
      <c r="AF34" s="155"/>
      <c r="AG34" s="155"/>
      <c r="AH34" s="155"/>
    </row>
    <row r="35" spans="1:35" s="213" customFormat="1" ht="12.95" customHeight="1">
      <c r="A35" s="189"/>
      <c r="B35" s="265"/>
      <c r="C35" s="229"/>
      <c r="D35" s="308"/>
      <c r="E35" s="302"/>
      <c r="F35" s="121" t="s">
        <v>450</v>
      </c>
      <c r="G35" s="217">
        <v>3</v>
      </c>
      <c r="H35" s="121" t="s">
        <v>451</v>
      </c>
      <c r="I35" s="214">
        <v>0.5</v>
      </c>
      <c r="J35" s="232"/>
      <c r="K35" s="232"/>
      <c r="L35" s="232"/>
      <c r="M35" s="232"/>
      <c r="N35" s="232"/>
      <c r="O35" s="232"/>
      <c r="P35" s="232"/>
      <c r="Q35" s="229"/>
      <c r="R35" s="229"/>
      <c r="S35" s="229"/>
      <c r="T35" s="229"/>
      <c r="U35" s="229"/>
      <c r="V35" s="229"/>
      <c r="W35" s="229"/>
      <c r="X35" s="229"/>
      <c r="Y35" s="229"/>
      <c r="AC35" s="215"/>
      <c r="AD35" s="215"/>
      <c r="AE35" s="215"/>
      <c r="AF35" s="215"/>
      <c r="AG35" s="215"/>
      <c r="AH35" s="215"/>
    </row>
    <row r="36" spans="1:35" ht="12.95" customHeight="1">
      <c r="A36" s="190"/>
      <c r="B36" s="265"/>
      <c r="C36" s="229"/>
      <c r="D36" s="310"/>
      <c r="E36" s="256"/>
      <c r="F36" s="59" t="s">
        <v>358</v>
      </c>
      <c r="G36" s="146">
        <f>ROUND(3.2*A34/1000,1)</f>
        <v>0.9</v>
      </c>
      <c r="H36" s="92" t="s">
        <v>452</v>
      </c>
      <c r="I36" s="156" t="s">
        <v>453</v>
      </c>
      <c r="J36" s="232"/>
      <c r="K36" s="232"/>
      <c r="L36" s="232"/>
      <c r="M36" s="232"/>
      <c r="N36" s="232"/>
      <c r="O36" s="232"/>
      <c r="P36" s="232"/>
      <c r="Q36" s="229"/>
      <c r="R36" s="229"/>
      <c r="S36" s="229"/>
      <c r="T36" s="229"/>
      <c r="U36" s="229"/>
      <c r="V36" s="229"/>
      <c r="W36" s="229"/>
      <c r="X36" s="229"/>
      <c r="Y36" s="229"/>
      <c r="Z36" s="213"/>
      <c r="AA36" s="213"/>
      <c r="AC36" s="155"/>
      <c r="AD36" s="155"/>
      <c r="AE36" s="155"/>
      <c r="AF36" s="155"/>
      <c r="AG36" s="155"/>
      <c r="AH36" s="155"/>
    </row>
    <row r="37" spans="1:35" ht="12.95" customHeight="1">
      <c r="A37" s="190"/>
      <c r="B37" s="265"/>
      <c r="C37" s="229"/>
      <c r="D37" s="310"/>
      <c r="E37" s="257"/>
      <c r="F37" s="146" t="s">
        <v>359</v>
      </c>
      <c r="G37" s="146">
        <f>ROUND(18*A34/1000,0)</f>
        <v>5</v>
      </c>
      <c r="H37" s="162"/>
      <c r="I37" s="157"/>
      <c r="J37" s="232"/>
      <c r="K37" s="232"/>
      <c r="L37" s="232"/>
      <c r="M37" s="232"/>
      <c r="N37" s="232"/>
      <c r="O37" s="232"/>
      <c r="P37" s="232"/>
      <c r="Q37" s="230"/>
      <c r="R37" s="230"/>
      <c r="S37" s="230"/>
      <c r="T37" s="230"/>
      <c r="U37" s="230"/>
      <c r="V37" s="230"/>
      <c r="W37" s="230"/>
      <c r="X37" s="230"/>
      <c r="Y37" s="229"/>
      <c r="AA37" s="153"/>
    </row>
    <row r="38" spans="1:35" ht="12.95" customHeight="1">
      <c r="A38" s="190"/>
      <c r="B38" s="265"/>
      <c r="C38" s="229"/>
      <c r="D38" s="310"/>
      <c r="E38" s="255" t="s">
        <v>278</v>
      </c>
      <c r="F38" s="117" t="s">
        <v>197</v>
      </c>
      <c r="G38" s="49" t="s">
        <v>394</v>
      </c>
      <c r="H38" s="121"/>
      <c r="I38" s="156"/>
      <c r="J38" s="232"/>
      <c r="K38" s="232"/>
      <c r="L38" s="232"/>
      <c r="M38" s="232"/>
      <c r="N38" s="232"/>
      <c r="O38" s="232"/>
      <c r="P38" s="232"/>
      <c r="Q38" s="228"/>
      <c r="R38" s="228"/>
      <c r="S38" s="228"/>
      <c r="T38" s="228"/>
      <c r="U38" s="228"/>
      <c r="V38" s="228"/>
      <c r="W38" s="228"/>
      <c r="X38" s="228"/>
      <c r="Y38" s="229"/>
      <c r="AA38" s="153"/>
    </row>
    <row r="39" spans="1:35" ht="12.95" customHeight="1">
      <c r="A39" s="190"/>
      <c r="B39" s="265"/>
      <c r="C39" s="229"/>
      <c r="D39" s="310"/>
      <c r="E39" s="256"/>
      <c r="F39" s="146"/>
      <c r="G39" s="146"/>
      <c r="H39" s="146"/>
      <c r="I39" s="146"/>
      <c r="J39" s="232"/>
      <c r="K39" s="232"/>
      <c r="L39" s="232"/>
      <c r="M39" s="232"/>
      <c r="N39" s="232"/>
      <c r="O39" s="232"/>
      <c r="P39" s="232"/>
      <c r="Q39" s="229"/>
      <c r="R39" s="229"/>
      <c r="S39" s="229"/>
      <c r="T39" s="229"/>
      <c r="U39" s="229"/>
      <c r="V39" s="229"/>
      <c r="W39" s="229"/>
      <c r="X39" s="229"/>
      <c r="Y39" s="229"/>
      <c r="AA39" s="153"/>
    </row>
    <row r="40" spans="1:35" ht="12.95" customHeight="1">
      <c r="A40" s="190"/>
      <c r="B40" s="265"/>
      <c r="C40" s="229"/>
      <c r="D40" s="310"/>
      <c r="E40" s="257"/>
      <c r="F40" s="147"/>
      <c r="G40" s="146"/>
      <c r="H40" s="147"/>
      <c r="I40" s="146"/>
      <c r="J40" s="232"/>
      <c r="K40" s="232"/>
      <c r="L40" s="232"/>
      <c r="M40" s="232"/>
      <c r="N40" s="232"/>
      <c r="O40" s="232"/>
      <c r="P40" s="232"/>
      <c r="Q40" s="230"/>
      <c r="R40" s="230"/>
      <c r="S40" s="230"/>
      <c r="T40" s="230"/>
      <c r="U40" s="230"/>
      <c r="V40" s="230"/>
      <c r="W40" s="230"/>
      <c r="X40" s="230"/>
      <c r="Y40" s="229"/>
      <c r="AA40" s="153"/>
    </row>
    <row r="41" spans="1:35" ht="12.95" customHeight="1">
      <c r="A41" s="190"/>
      <c r="B41" s="265"/>
      <c r="C41" s="229"/>
      <c r="D41" s="310"/>
      <c r="E41" s="247" t="s">
        <v>104</v>
      </c>
      <c r="F41" s="145" t="s">
        <v>341</v>
      </c>
      <c r="G41" s="49">
        <v>21.52</v>
      </c>
      <c r="H41" s="59"/>
      <c r="I41" s="117"/>
      <c r="J41" s="232"/>
      <c r="K41" s="232"/>
      <c r="L41" s="232"/>
      <c r="M41" s="232"/>
      <c r="N41" s="232"/>
      <c r="O41" s="232"/>
      <c r="P41" s="232"/>
      <c r="Q41" s="228"/>
      <c r="R41" s="228"/>
      <c r="S41" s="228"/>
      <c r="T41" s="228"/>
      <c r="U41" s="228"/>
      <c r="V41" s="228"/>
      <c r="W41" s="228"/>
      <c r="X41" s="228"/>
      <c r="Y41" s="229"/>
      <c r="AA41" s="153"/>
    </row>
    <row r="42" spans="1:35" ht="12.95" customHeight="1">
      <c r="A42" s="190"/>
      <c r="B42" s="265"/>
      <c r="C42" s="229"/>
      <c r="D42" s="310"/>
      <c r="E42" s="244"/>
      <c r="F42" s="156" t="s">
        <v>342</v>
      </c>
      <c r="G42" s="156" t="s">
        <v>343</v>
      </c>
      <c r="H42" s="59"/>
      <c r="I42" s="58"/>
      <c r="J42" s="232"/>
      <c r="K42" s="232"/>
      <c r="L42" s="232"/>
      <c r="M42" s="232"/>
      <c r="N42" s="232"/>
      <c r="O42" s="232"/>
      <c r="P42" s="232"/>
      <c r="Q42" s="229"/>
      <c r="R42" s="229"/>
      <c r="S42" s="229"/>
      <c r="T42" s="229"/>
      <c r="U42" s="229"/>
      <c r="V42" s="229"/>
      <c r="W42" s="229"/>
      <c r="X42" s="229"/>
      <c r="Y42" s="229"/>
      <c r="AA42" s="153"/>
    </row>
    <row r="43" spans="1:35" ht="12.95" customHeight="1">
      <c r="A43" s="190"/>
      <c r="B43" s="265"/>
      <c r="C43" s="229"/>
      <c r="D43" s="310"/>
      <c r="E43" s="245"/>
      <c r="F43" s="147"/>
      <c r="G43" s="147"/>
      <c r="H43" s="59"/>
      <c r="I43" s="58"/>
      <c r="J43" s="232"/>
      <c r="K43" s="232"/>
      <c r="L43" s="232"/>
      <c r="M43" s="232"/>
      <c r="N43" s="232"/>
      <c r="O43" s="232"/>
      <c r="P43" s="232"/>
      <c r="Q43" s="230"/>
      <c r="R43" s="230"/>
      <c r="S43" s="230"/>
      <c r="T43" s="230"/>
      <c r="U43" s="230"/>
      <c r="V43" s="230"/>
      <c r="W43" s="230"/>
      <c r="X43" s="230"/>
      <c r="Y43" s="229"/>
      <c r="AA43" s="153"/>
    </row>
    <row r="44" spans="1:35" ht="12.95" customHeight="1">
      <c r="A44" s="190"/>
      <c r="B44" s="265"/>
      <c r="C44" s="229"/>
      <c r="D44" s="310"/>
      <c r="E44" s="267" t="s">
        <v>352</v>
      </c>
      <c r="F44" s="156" t="s">
        <v>395</v>
      </c>
      <c r="G44" s="120" t="s">
        <v>396</v>
      </c>
      <c r="H44" s="101"/>
      <c r="I44" s="60"/>
      <c r="J44" s="232"/>
      <c r="K44" s="232"/>
      <c r="L44" s="232"/>
      <c r="M44" s="232"/>
      <c r="N44" s="232"/>
      <c r="O44" s="232"/>
      <c r="P44" s="232"/>
      <c r="Q44" s="228"/>
      <c r="R44" s="228"/>
      <c r="S44" s="228"/>
      <c r="T44" s="228"/>
      <c r="U44" s="228"/>
      <c r="V44" s="228"/>
      <c r="W44" s="228"/>
      <c r="X44" s="228"/>
      <c r="Y44" s="229"/>
      <c r="AA44" s="153"/>
    </row>
    <row r="45" spans="1:35" ht="12.95" customHeight="1">
      <c r="A45" s="190"/>
      <c r="B45" s="265"/>
      <c r="C45" s="229"/>
      <c r="D45" s="310"/>
      <c r="E45" s="271"/>
      <c r="F45" s="81"/>
      <c r="G45" s="81"/>
      <c r="H45" s="100"/>
      <c r="I45" s="61"/>
      <c r="J45" s="232"/>
      <c r="K45" s="232"/>
      <c r="L45" s="232"/>
      <c r="M45" s="232"/>
      <c r="N45" s="232"/>
      <c r="O45" s="232"/>
      <c r="P45" s="232"/>
      <c r="Q45" s="229"/>
      <c r="R45" s="229"/>
      <c r="S45" s="229"/>
      <c r="T45" s="229"/>
      <c r="U45" s="229"/>
      <c r="V45" s="229"/>
      <c r="W45" s="229"/>
      <c r="X45" s="229"/>
      <c r="Y45" s="229"/>
      <c r="AA45" s="153"/>
    </row>
    <row r="46" spans="1:35" ht="12.95" customHeight="1">
      <c r="A46" s="190"/>
      <c r="B46" s="266"/>
      <c r="C46" s="230"/>
      <c r="D46" s="311"/>
      <c r="E46" s="272"/>
      <c r="F46" s="147"/>
      <c r="G46" s="147"/>
      <c r="H46" s="102"/>
      <c r="I46" s="62"/>
      <c r="J46" s="233"/>
      <c r="K46" s="233"/>
      <c r="L46" s="233"/>
      <c r="M46" s="233"/>
      <c r="N46" s="233"/>
      <c r="O46" s="233"/>
      <c r="P46" s="233"/>
      <c r="Q46" s="230"/>
      <c r="R46" s="230"/>
      <c r="S46" s="230"/>
      <c r="T46" s="230"/>
      <c r="U46" s="230"/>
      <c r="V46" s="230"/>
      <c r="W46" s="230"/>
      <c r="X46" s="230"/>
      <c r="Y46" s="230"/>
      <c r="AA46" s="153"/>
    </row>
    <row r="47" spans="1:35" s="68" customFormat="1" ht="12.95" customHeight="1">
      <c r="A47" s="191"/>
      <c r="B47" s="258" t="s">
        <v>37</v>
      </c>
      <c r="C47" s="259"/>
      <c r="D47" s="260"/>
      <c r="E47" s="261" t="s">
        <v>198</v>
      </c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3"/>
      <c r="AA47" s="153"/>
      <c r="AB47" s="153"/>
      <c r="AC47" s="153"/>
      <c r="AD47" s="153"/>
      <c r="AE47" s="153"/>
      <c r="AF47" s="153"/>
      <c r="AG47" s="153"/>
      <c r="AH47" s="153"/>
      <c r="AI47" s="153"/>
    </row>
    <row r="48" spans="1:35" ht="12.95" customHeight="1">
      <c r="A48" s="189">
        <v>269</v>
      </c>
      <c r="B48" s="264">
        <v>43818</v>
      </c>
      <c r="C48" s="228" t="s">
        <v>118</v>
      </c>
      <c r="D48" s="228" t="s">
        <v>367</v>
      </c>
      <c r="E48" s="267" t="s">
        <v>373</v>
      </c>
      <c r="F48" s="145" t="s">
        <v>374</v>
      </c>
      <c r="G48" s="138">
        <f>67*A48/1000</f>
        <v>18.023</v>
      </c>
      <c r="H48" s="156"/>
      <c r="I48" s="146"/>
      <c r="J48" s="231">
        <v>5.0999999999999996</v>
      </c>
      <c r="K48" s="231">
        <v>2</v>
      </c>
      <c r="L48" s="231">
        <v>0</v>
      </c>
      <c r="M48" s="231">
        <v>1.7</v>
      </c>
      <c r="N48" s="231">
        <v>0</v>
      </c>
      <c r="O48" s="231">
        <v>2.5</v>
      </c>
      <c r="P48" s="231">
        <f>K48*75+J48*70+L48*120+M48*25+N48*60+O48*45</f>
        <v>662</v>
      </c>
      <c r="Q48" s="228"/>
      <c r="R48" s="228"/>
      <c r="S48" s="228"/>
      <c r="T48" s="228"/>
      <c r="U48" s="228"/>
      <c r="V48" s="228"/>
      <c r="W48" s="228"/>
      <c r="X48" s="228"/>
      <c r="Y48" s="228"/>
      <c r="AA48" s="153"/>
    </row>
    <row r="49" spans="1:35" ht="12.95" customHeight="1">
      <c r="A49" s="190"/>
      <c r="B49" s="265"/>
      <c r="C49" s="229"/>
      <c r="D49" s="229"/>
      <c r="E49" s="244"/>
      <c r="F49" s="139" t="s">
        <v>375</v>
      </c>
      <c r="G49" s="140">
        <f>ROUND(28*A48/1000,0)</f>
        <v>8</v>
      </c>
      <c r="H49" s="156"/>
      <c r="I49" s="156"/>
      <c r="J49" s="232"/>
      <c r="K49" s="232"/>
      <c r="L49" s="232"/>
      <c r="M49" s="232"/>
      <c r="N49" s="232"/>
      <c r="O49" s="232"/>
      <c r="P49" s="232"/>
      <c r="Q49" s="229"/>
      <c r="R49" s="229"/>
      <c r="S49" s="229"/>
      <c r="T49" s="229"/>
      <c r="U49" s="229"/>
      <c r="V49" s="229"/>
      <c r="W49" s="229"/>
      <c r="X49" s="229"/>
      <c r="Y49" s="229"/>
      <c r="AA49" s="153"/>
    </row>
    <row r="50" spans="1:35" ht="12.95" customHeight="1">
      <c r="A50" s="190"/>
      <c r="B50" s="265"/>
      <c r="C50" s="229"/>
      <c r="D50" s="229"/>
      <c r="E50" s="245"/>
      <c r="F50" s="163" t="s">
        <v>370</v>
      </c>
      <c r="G50" s="164">
        <f>ROUND(11.75*A48/1000,0)</f>
        <v>3</v>
      </c>
      <c r="H50" s="141"/>
      <c r="I50" s="142"/>
      <c r="J50" s="232"/>
      <c r="K50" s="232"/>
      <c r="L50" s="232"/>
      <c r="M50" s="232"/>
      <c r="N50" s="232"/>
      <c r="O50" s="232"/>
      <c r="P50" s="232"/>
      <c r="Q50" s="230"/>
      <c r="R50" s="230"/>
      <c r="S50" s="230"/>
      <c r="T50" s="230"/>
      <c r="U50" s="230"/>
      <c r="V50" s="230"/>
      <c r="W50" s="230"/>
      <c r="X50" s="230"/>
      <c r="Y50" s="229"/>
      <c r="AA50" s="153"/>
    </row>
    <row r="51" spans="1:35" ht="12.95" customHeight="1">
      <c r="A51" s="190"/>
      <c r="B51" s="265"/>
      <c r="C51" s="229"/>
      <c r="D51" s="229"/>
      <c r="E51" s="247" t="s">
        <v>404</v>
      </c>
      <c r="F51" s="181" t="s">
        <v>405</v>
      </c>
      <c r="G51" s="148">
        <f>ROUND(12*A48/1000,0)</f>
        <v>3</v>
      </c>
      <c r="H51" s="182" t="s">
        <v>406</v>
      </c>
      <c r="I51" s="149">
        <f>ROUND(6*A48/1000,0)</f>
        <v>2</v>
      </c>
      <c r="J51" s="232"/>
      <c r="K51" s="232"/>
      <c r="L51" s="232"/>
      <c r="M51" s="232"/>
      <c r="N51" s="232"/>
      <c r="O51" s="232"/>
      <c r="P51" s="232"/>
      <c r="Q51" s="228"/>
      <c r="R51" s="228"/>
      <c r="S51" s="228"/>
      <c r="T51" s="228"/>
      <c r="U51" s="228"/>
      <c r="V51" s="228"/>
      <c r="W51" s="228"/>
      <c r="X51" s="228"/>
      <c r="Y51" s="229"/>
      <c r="AA51" s="153"/>
    </row>
    <row r="52" spans="1:35" ht="12.95" customHeight="1">
      <c r="A52" s="190"/>
      <c r="B52" s="265"/>
      <c r="C52" s="229"/>
      <c r="D52" s="229"/>
      <c r="E52" s="244"/>
      <c r="F52" s="212" t="s">
        <v>430</v>
      </c>
      <c r="G52" s="203">
        <v>4</v>
      </c>
      <c r="H52" s="181" t="s">
        <v>407</v>
      </c>
      <c r="I52" s="149">
        <f>ROUND(6*A48/1000,0)</f>
        <v>2</v>
      </c>
      <c r="J52" s="232"/>
      <c r="K52" s="232"/>
      <c r="L52" s="232"/>
      <c r="M52" s="232"/>
      <c r="N52" s="232"/>
      <c r="O52" s="232"/>
      <c r="P52" s="232"/>
      <c r="Q52" s="229"/>
      <c r="R52" s="229"/>
      <c r="S52" s="229"/>
      <c r="T52" s="229"/>
      <c r="U52" s="229"/>
      <c r="V52" s="229"/>
      <c r="W52" s="229"/>
      <c r="X52" s="229"/>
      <c r="Y52" s="229"/>
      <c r="AA52" s="153"/>
    </row>
    <row r="53" spans="1:35" ht="12.95" customHeight="1">
      <c r="A53" s="190"/>
      <c r="B53" s="265"/>
      <c r="C53" s="229"/>
      <c r="D53" s="229"/>
      <c r="E53" s="245"/>
      <c r="F53" s="218" t="s">
        <v>444</v>
      </c>
      <c r="G53" s="203">
        <v>6</v>
      </c>
      <c r="H53" s="183"/>
      <c r="I53" s="150"/>
      <c r="J53" s="232"/>
      <c r="K53" s="232"/>
      <c r="L53" s="232"/>
      <c r="M53" s="232"/>
      <c r="N53" s="232"/>
      <c r="O53" s="232"/>
      <c r="P53" s="232"/>
      <c r="Q53" s="230"/>
      <c r="R53" s="230"/>
      <c r="S53" s="230"/>
      <c r="T53" s="230"/>
      <c r="U53" s="230"/>
      <c r="V53" s="230"/>
      <c r="W53" s="230"/>
      <c r="X53" s="230"/>
      <c r="Y53" s="229"/>
      <c r="AA53" s="153"/>
    </row>
    <row r="54" spans="1:35" ht="12.95" customHeight="1">
      <c r="A54" s="190"/>
      <c r="B54" s="265"/>
      <c r="C54" s="229"/>
      <c r="D54" s="229"/>
      <c r="E54" s="247" t="s">
        <v>104</v>
      </c>
      <c r="F54" s="145" t="s">
        <v>341</v>
      </c>
      <c r="G54" s="49">
        <v>21.52</v>
      </c>
      <c r="H54" s="117"/>
      <c r="I54" s="117"/>
      <c r="J54" s="232"/>
      <c r="K54" s="232"/>
      <c r="L54" s="232"/>
      <c r="M54" s="232"/>
      <c r="N54" s="232"/>
      <c r="O54" s="232"/>
      <c r="P54" s="232"/>
      <c r="Q54" s="228"/>
      <c r="R54" s="228"/>
      <c r="S54" s="228"/>
      <c r="T54" s="228"/>
      <c r="U54" s="228"/>
      <c r="V54" s="228"/>
      <c r="W54" s="228"/>
      <c r="X54" s="228"/>
      <c r="Y54" s="229"/>
      <c r="AA54" s="153"/>
    </row>
    <row r="55" spans="1:35" ht="12.95" customHeight="1">
      <c r="A55" s="190"/>
      <c r="B55" s="265"/>
      <c r="C55" s="229"/>
      <c r="D55" s="229"/>
      <c r="E55" s="244"/>
      <c r="F55" s="156" t="s">
        <v>342</v>
      </c>
      <c r="G55" s="156" t="s">
        <v>343</v>
      </c>
      <c r="H55" s="146"/>
      <c r="I55" s="146"/>
      <c r="J55" s="232"/>
      <c r="K55" s="232"/>
      <c r="L55" s="232"/>
      <c r="M55" s="232"/>
      <c r="N55" s="232"/>
      <c r="O55" s="232"/>
      <c r="P55" s="232"/>
      <c r="Q55" s="229"/>
      <c r="R55" s="229"/>
      <c r="S55" s="229"/>
      <c r="T55" s="229"/>
      <c r="U55" s="229"/>
      <c r="V55" s="229"/>
      <c r="W55" s="229"/>
      <c r="X55" s="229"/>
      <c r="Y55" s="229"/>
      <c r="AA55" s="153"/>
    </row>
    <row r="56" spans="1:35" ht="12.95" customHeight="1">
      <c r="A56" s="190"/>
      <c r="B56" s="265"/>
      <c r="C56" s="229"/>
      <c r="D56" s="229"/>
      <c r="E56" s="245"/>
      <c r="F56" s="147"/>
      <c r="G56" s="147"/>
      <c r="H56" s="147"/>
      <c r="I56" s="147"/>
      <c r="J56" s="232"/>
      <c r="K56" s="232"/>
      <c r="L56" s="232"/>
      <c r="M56" s="232"/>
      <c r="N56" s="232"/>
      <c r="O56" s="232"/>
      <c r="P56" s="232"/>
      <c r="Q56" s="230"/>
      <c r="R56" s="230"/>
      <c r="S56" s="230"/>
      <c r="T56" s="230"/>
      <c r="U56" s="230"/>
      <c r="V56" s="230"/>
      <c r="W56" s="230"/>
      <c r="X56" s="230"/>
      <c r="Y56" s="229"/>
      <c r="AA56" s="153"/>
    </row>
    <row r="57" spans="1:35" ht="12.95" customHeight="1">
      <c r="A57" s="190"/>
      <c r="B57" s="265"/>
      <c r="C57" s="229"/>
      <c r="D57" s="229"/>
      <c r="E57" s="255" t="s">
        <v>280</v>
      </c>
      <c r="F57" s="117" t="s">
        <v>109</v>
      </c>
      <c r="G57" s="75">
        <v>3</v>
      </c>
      <c r="H57" s="117" t="s">
        <v>202</v>
      </c>
      <c r="I57" s="53">
        <f>ROUND(0.7*A48/1000,1)</f>
        <v>0.2</v>
      </c>
      <c r="J57" s="232"/>
      <c r="K57" s="232"/>
      <c r="L57" s="232"/>
      <c r="M57" s="232"/>
      <c r="N57" s="232"/>
      <c r="O57" s="232"/>
      <c r="P57" s="232"/>
      <c r="Q57" s="228"/>
      <c r="R57" s="228"/>
      <c r="S57" s="228"/>
      <c r="T57" s="228"/>
      <c r="U57" s="228"/>
      <c r="V57" s="228"/>
      <c r="W57" s="228"/>
      <c r="X57" s="228"/>
      <c r="Y57" s="229"/>
      <c r="AA57" s="153"/>
    </row>
    <row r="58" spans="1:35" ht="12.95" customHeight="1">
      <c r="A58" s="190"/>
      <c r="B58" s="265"/>
      <c r="C58" s="229"/>
      <c r="D58" s="229"/>
      <c r="E58" s="256"/>
      <c r="F58" s="146" t="s">
        <v>203</v>
      </c>
      <c r="G58" s="204">
        <v>12</v>
      </c>
      <c r="H58" s="193"/>
      <c r="I58" s="48"/>
      <c r="J58" s="232"/>
      <c r="K58" s="232"/>
      <c r="L58" s="232"/>
      <c r="M58" s="232"/>
      <c r="N58" s="232"/>
      <c r="O58" s="232"/>
      <c r="P58" s="232"/>
      <c r="Q58" s="229"/>
      <c r="R58" s="229"/>
      <c r="S58" s="229"/>
      <c r="T58" s="229"/>
      <c r="U58" s="229"/>
      <c r="V58" s="229"/>
      <c r="W58" s="229"/>
      <c r="X58" s="229"/>
      <c r="Y58" s="229"/>
      <c r="AA58" s="153"/>
    </row>
    <row r="59" spans="1:35" ht="12.95" customHeight="1">
      <c r="A59" s="190"/>
      <c r="B59" s="266"/>
      <c r="C59" s="230"/>
      <c r="D59" s="229"/>
      <c r="E59" s="257"/>
      <c r="F59" s="147" t="s">
        <v>204</v>
      </c>
      <c r="G59" s="147">
        <f>ROUND(0.3*A48/1000,1)</f>
        <v>0.1</v>
      </c>
      <c r="H59" s="147"/>
      <c r="I59" s="54"/>
      <c r="J59" s="233"/>
      <c r="K59" s="233"/>
      <c r="L59" s="233"/>
      <c r="M59" s="233"/>
      <c r="N59" s="233"/>
      <c r="O59" s="233"/>
      <c r="P59" s="233"/>
      <c r="Q59" s="230"/>
      <c r="R59" s="230"/>
      <c r="S59" s="230"/>
      <c r="T59" s="230"/>
      <c r="U59" s="230"/>
      <c r="V59" s="230"/>
      <c r="W59" s="230"/>
      <c r="X59" s="230"/>
      <c r="Y59" s="230"/>
      <c r="AA59" s="153"/>
    </row>
    <row r="60" spans="1:35" s="68" customFormat="1" ht="12.95" customHeight="1">
      <c r="A60" s="191"/>
      <c r="B60" s="258" t="s">
        <v>122</v>
      </c>
      <c r="C60" s="259"/>
      <c r="D60" s="260"/>
      <c r="E60" s="279" t="s">
        <v>419</v>
      </c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3"/>
      <c r="AA60" s="153"/>
      <c r="AB60" s="153"/>
      <c r="AC60" s="153"/>
      <c r="AD60" s="153"/>
      <c r="AE60" s="153"/>
      <c r="AF60" s="153"/>
      <c r="AG60" s="153"/>
      <c r="AH60" s="153"/>
      <c r="AI60" s="153"/>
    </row>
    <row r="61" spans="1:35" ht="12.95" customHeight="1">
      <c r="A61" s="189">
        <v>269</v>
      </c>
      <c r="B61" s="264">
        <v>43819</v>
      </c>
      <c r="C61" s="235" t="s">
        <v>40</v>
      </c>
      <c r="D61" s="273" t="s">
        <v>369</v>
      </c>
      <c r="E61" s="267" t="s">
        <v>376</v>
      </c>
      <c r="F61" s="153" t="s">
        <v>377</v>
      </c>
      <c r="G61" s="117">
        <f>ROUND(55.3*A61/1000,0)</f>
        <v>15</v>
      </c>
      <c r="H61" s="98"/>
      <c r="I61" s="117"/>
      <c r="J61" s="231">
        <v>6.2</v>
      </c>
      <c r="K61" s="231">
        <v>2.9</v>
      </c>
      <c r="L61" s="231">
        <v>0</v>
      </c>
      <c r="M61" s="231">
        <v>1</v>
      </c>
      <c r="N61" s="231">
        <v>0</v>
      </c>
      <c r="O61" s="231">
        <v>4</v>
      </c>
      <c r="P61" s="231">
        <f>K61*75+J61*70+L61*120+M61*25+N61*60+O61*45</f>
        <v>856.5</v>
      </c>
      <c r="Q61" s="228"/>
      <c r="R61" s="228"/>
      <c r="S61" s="228"/>
      <c r="T61" s="228"/>
      <c r="U61" s="228"/>
      <c r="V61" s="228"/>
      <c r="W61" s="228"/>
      <c r="X61" s="228"/>
      <c r="Y61" s="268"/>
      <c r="AA61" s="153"/>
    </row>
    <row r="62" spans="1:35" ht="12.95" customHeight="1">
      <c r="A62" s="190"/>
      <c r="B62" s="265"/>
      <c r="C62" s="236"/>
      <c r="D62" s="274"/>
      <c r="E62" s="244"/>
      <c r="F62" s="146" t="s">
        <v>378</v>
      </c>
      <c r="G62" s="201">
        <v>10</v>
      </c>
      <c r="H62" s="59"/>
      <c r="I62" s="146"/>
      <c r="J62" s="232"/>
      <c r="K62" s="232"/>
      <c r="L62" s="232"/>
      <c r="M62" s="232"/>
      <c r="N62" s="232"/>
      <c r="O62" s="232"/>
      <c r="P62" s="232"/>
      <c r="Q62" s="229"/>
      <c r="R62" s="229"/>
      <c r="S62" s="229"/>
      <c r="T62" s="229"/>
      <c r="U62" s="229"/>
      <c r="V62" s="229"/>
      <c r="W62" s="229"/>
      <c r="X62" s="229"/>
      <c r="Y62" s="269"/>
      <c r="AA62" s="153"/>
    </row>
    <row r="63" spans="1:35" ht="12.95" customHeight="1">
      <c r="A63" s="190"/>
      <c r="B63" s="265"/>
      <c r="C63" s="236"/>
      <c r="D63" s="274"/>
      <c r="E63" s="245"/>
      <c r="F63" s="147" t="s">
        <v>379</v>
      </c>
      <c r="G63" s="147">
        <f>ROUND(10*A61/1000,0)</f>
        <v>3</v>
      </c>
      <c r="H63" s="154"/>
      <c r="I63" s="147"/>
      <c r="J63" s="232"/>
      <c r="K63" s="232"/>
      <c r="L63" s="232"/>
      <c r="M63" s="232"/>
      <c r="N63" s="232"/>
      <c r="O63" s="232"/>
      <c r="P63" s="232"/>
      <c r="Q63" s="230"/>
      <c r="R63" s="230"/>
      <c r="S63" s="230"/>
      <c r="T63" s="230"/>
      <c r="U63" s="230"/>
      <c r="V63" s="230"/>
      <c r="W63" s="230"/>
      <c r="X63" s="230"/>
      <c r="Y63" s="269"/>
      <c r="AA63" s="153"/>
    </row>
    <row r="64" spans="1:35" ht="12.95" customHeight="1">
      <c r="A64" s="190"/>
      <c r="B64" s="265"/>
      <c r="C64" s="236"/>
      <c r="D64" s="274"/>
      <c r="E64" s="267" t="s">
        <v>279</v>
      </c>
      <c r="F64" s="100" t="s">
        <v>199</v>
      </c>
      <c r="G64" s="117">
        <f>ROUND(4.8*A61/1000,0)</f>
        <v>1</v>
      </c>
      <c r="H64" s="101" t="s">
        <v>50</v>
      </c>
      <c r="I64" s="146">
        <f>ROUND(4*A61/1000,0)</f>
        <v>1</v>
      </c>
      <c r="J64" s="232"/>
      <c r="K64" s="232"/>
      <c r="L64" s="232"/>
      <c r="M64" s="232"/>
      <c r="N64" s="232"/>
      <c r="O64" s="232"/>
      <c r="P64" s="232"/>
      <c r="Q64" s="228"/>
      <c r="R64" s="228"/>
      <c r="S64" s="228"/>
      <c r="T64" s="228"/>
      <c r="U64" s="228"/>
      <c r="V64" s="228"/>
      <c r="W64" s="228"/>
      <c r="X64" s="228"/>
      <c r="Y64" s="269"/>
      <c r="AA64" s="153"/>
    </row>
    <row r="65" spans="1:33" ht="12.95" customHeight="1">
      <c r="A65" s="190"/>
      <c r="B65" s="265"/>
      <c r="C65" s="236"/>
      <c r="D65" s="274"/>
      <c r="E65" s="244"/>
      <c r="F65" s="100" t="s">
        <v>200</v>
      </c>
      <c r="G65" s="146">
        <f>ROUND(70*A61/1000,0)</f>
        <v>19</v>
      </c>
      <c r="H65" s="100"/>
      <c r="I65" s="146"/>
      <c r="J65" s="232"/>
      <c r="K65" s="232"/>
      <c r="L65" s="232"/>
      <c r="M65" s="232"/>
      <c r="N65" s="232"/>
      <c r="O65" s="232"/>
      <c r="P65" s="232"/>
      <c r="Q65" s="229"/>
      <c r="R65" s="229"/>
      <c r="S65" s="229"/>
      <c r="T65" s="229"/>
      <c r="U65" s="229"/>
      <c r="V65" s="229"/>
      <c r="W65" s="229"/>
      <c r="X65" s="229"/>
      <c r="Y65" s="269"/>
      <c r="AA65" s="153"/>
    </row>
    <row r="66" spans="1:33" ht="12.95" customHeight="1">
      <c r="A66" s="190"/>
      <c r="B66" s="265"/>
      <c r="C66" s="236"/>
      <c r="D66" s="274"/>
      <c r="E66" s="245"/>
      <c r="F66" s="100" t="s">
        <v>201</v>
      </c>
      <c r="G66" s="147">
        <f>ROUND(4*A61/1000,0)</f>
        <v>1</v>
      </c>
      <c r="H66" s="102"/>
      <c r="I66" s="147"/>
      <c r="J66" s="232"/>
      <c r="K66" s="232"/>
      <c r="L66" s="232"/>
      <c r="M66" s="232"/>
      <c r="N66" s="232"/>
      <c r="O66" s="232"/>
      <c r="P66" s="232"/>
      <c r="Q66" s="230"/>
      <c r="R66" s="230"/>
      <c r="S66" s="230"/>
      <c r="T66" s="230"/>
      <c r="U66" s="230"/>
      <c r="V66" s="230"/>
      <c r="W66" s="230"/>
      <c r="X66" s="230"/>
      <c r="Y66" s="269"/>
      <c r="AA66" s="153"/>
    </row>
    <row r="67" spans="1:33" ht="12.95" customHeight="1">
      <c r="A67" s="190"/>
      <c r="B67" s="265"/>
      <c r="C67" s="236"/>
      <c r="D67" s="274"/>
      <c r="E67" s="247" t="s">
        <v>104</v>
      </c>
      <c r="F67" s="145" t="s">
        <v>341</v>
      </c>
      <c r="G67" s="49">
        <v>21.52</v>
      </c>
      <c r="H67" s="117"/>
      <c r="I67" s="117"/>
      <c r="J67" s="232"/>
      <c r="K67" s="232"/>
      <c r="L67" s="232"/>
      <c r="M67" s="232"/>
      <c r="N67" s="232"/>
      <c r="O67" s="232"/>
      <c r="P67" s="232"/>
      <c r="Q67" s="228"/>
      <c r="R67" s="228"/>
      <c r="S67" s="228"/>
      <c r="T67" s="228"/>
      <c r="U67" s="228"/>
      <c r="V67" s="228"/>
      <c r="W67" s="228"/>
      <c r="X67" s="228"/>
      <c r="Y67" s="269"/>
      <c r="AA67" s="153"/>
    </row>
    <row r="68" spans="1:33" ht="12.95" customHeight="1">
      <c r="A68" s="190"/>
      <c r="B68" s="265"/>
      <c r="C68" s="236"/>
      <c r="D68" s="274"/>
      <c r="E68" s="244"/>
      <c r="F68" s="156" t="s">
        <v>342</v>
      </c>
      <c r="G68" s="156" t="s">
        <v>343</v>
      </c>
      <c r="H68" s="146"/>
      <c r="I68" s="146"/>
      <c r="J68" s="232"/>
      <c r="K68" s="232"/>
      <c r="L68" s="232"/>
      <c r="M68" s="232"/>
      <c r="N68" s="232"/>
      <c r="O68" s="232"/>
      <c r="P68" s="232"/>
      <c r="Q68" s="229"/>
      <c r="R68" s="229"/>
      <c r="S68" s="229"/>
      <c r="T68" s="229"/>
      <c r="U68" s="229"/>
      <c r="V68" s="229"/>
      <c r="W68" s="229"/>
      <c r="X68" s="229"/>
      <c r="Y68" s="269"/>
      <c r="AA68" s="153"/>
    </row>
    <row r="69" spans="1:33" ht="12.95" customHeight="1">
      <c r="A69" s="190"/>
      <c r="B69" s="265"/>
      <c r="C69" s="236"/>
      <c r="D69" s="274"/>
      <c r="E69" s="245"/>
      <c r="F69" s="147"/>
      <c r="G69" s="147"/>
      <c r="H69" s="147"/>
      <c r="I69" s="147"/>
      <c r="J69" s="232"/>
      <c r="K69" s="232"/>
      <c r="L69" s="232"/>
      <c r="M69" s="232"/>
      <c r="N69" s="232"/>
      <c r="O69" s="232"/>
      <c r="P69" s="232"/>
      <c r="Q69" s="230"/>
      <c r="R69" s="230"/>
      <c r="S69" s="230"/>
      <c r="T69" s="230"/>
      <c r="U69" s="230"/>
      <c r="V69" s="230"/>
      <c r="W69" s="230"/>
      <c r="X69" s="230"/>
      <c r="Y69" s="269"/>
      <c r="AA69" s="153"/>
    </row>
    <row r="70" spans="1:33" ht="12.95" customHeight="1">
      <c r="A70" s="190"/>
      <c r="B70" s="265"/>
      <c r="C70" s="236"/>
      <c r="D70" s="274"/>
      <c r="E70" s="267" t="s">
        <v>327</v>
      </c>
      <c r="F70" s="117" t="s">
        <v>312</v>
      </c>
      <c r="G70" s="50">
        <f>8*A61/1000</f>
        <v>2.1520000000000001</v>
      </c>
      <c r="H70" s="146" t="s">
        <v>313</v>
      </c>
      <c r="I70" s="69">
        <f>0.7*A61/1000</f>
        <v>0.1883</v>
      </c>
      <c r="J70" s="232"/>
      <c r="K70" s="232"/>
      <c r="L70" s="232"/>
      <c r="M70" s="232"/>
      <c r="N70" s="232"/>
      <c r="O70" s="232"/>
      <c r="P70" s="232"/>
      <c r="Q70" s="228"/>
      <c r="R70" s="228"/>
      <c r="S70" s="228"/>
      <c r="T70" s="228"/>
      <c r="U70" s="228"/>
      <c r="V70" s="228"/>
      <c r="W70" s="228"/>
      <c r="X70" s="228"/>
      <c r="Y70" s="269"/>
      <c r="AA70" s="153"/>
    </row>
    <row r="71" spans="1:33" ht="12.95" customHeight="1">
      <c r="A71" s="190"/>
      <c r="B71" s="265"/>
      <c r="C71" s="236"/>
      <c r="D71" s="274"/>
      <c r="E71" s="244"/>
      <c r="F71" s="146" t="s">
        <v>314</v>
      </c>
      <c r="G71" s="50">
        <f>8*A61/1000</f>
        <v>2.1520000000000001</v>
      </c>
      <c r="H71" s="161" t="s">
        <v>315</v>
      </c>
      <c r="I71" s="166">
        <v>2</v>
      </c>
      <c r="J71" s="232"/>
      <c r="K71" s="232"/>
      <c r="L71" s="232"/>
      <c r="M71" s="232"/>
      <c r="N71" s="232"/>
      <c r="O71" s="232"/>
      <c r="P71" s="232"/>
      <c r="Q71" s="229"/>
      <c r="R71" s="229"/>
      <c r="S71" s="229"/>
      <c r="T71" s="229"/>
      <c r="U71" s="229"/>
      <c r="V71" s="229"/>
      <c r="W71" s="229"/>
      <c r="X71" s="229"/>
      <c r="Y71" s="269"/>
      <c r="AA71" s="153"/>
    </row>
    <row r="72" spans="1:33" ht="12.95" customHeight="1">
      <c r="A72" s="190"/>
      <c r="B72" s="266"/>
      <c r="C72" s="237"/>
      <c r="D72" s="275"/>
      <c r="E72" s="245"/>
      <c r="F72" s="147" t="s">
        <v>316</v>
      </c>
      <c r="G72" s="51">
        <f>8*A61/1000</f>
        <v>2.1520000000000001</v>
      </c>
      <c r="H72" s="147"/>
      <c r="I72" s="147"/>
      <c r="J72" s="233"/>
      <c r="K72" s="233"/>
      <c r="L72" s="233"/>
      <c r="M72" s="233"/>
      <c r="N72" s="233"/>
      <c r="O72" s="233"/>
      <c r="P72" s="233"/>
      <c r="Q72" s="230"/>
      <c r="R72" s="230"/>
      <c r="S72" s="230"/>
      <c r="T72" s="230"/>
      <c r="U72" s="230"/>
      <c r="V72" s="230"/>
      <c r="W72" s="230"/>
      <c r="X72" s="230"/>
      <c r="Y72" s="270"/>
      <c r="AA72" s="153"/>
    </row>
    <row r="73" spans="1:33" s="68" customFormat="1" ht="12.95" customHeight="1">
      <c r="A73" s="191"/>
      <c r="B73" s="276" t="s">
        <v>205</v>
      </c>
      <c r="C73" s="277"/>
      <c r="D73" s="278"/>
      <c r="E73" s="279" t="s">
        <v>398</v>
      </c>
      <c r="F73" s="314"/>
      <c r="G73" s="314"/>
      <c r="H73" s="314"/>
      <c r="I73" s="314"/>
      <c r="J73" s="315"/>
      <c r="K73" s="315"/>
      <c r="L73" s="315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6"/>
      <c r="AA73" s="153"/>
      <c r="AB73" s="153"/>
      <c r="AC73" s="153"/>
      <c r="AD73" s="153"/>
      <c r="AE73" s="153"/>
      <c r="AF73" s="153"/>
      <c r="AG73" s="153"/>
    </row>
    <row r="74" spans="1:33" ht="12.95" customHeight="1">
      <c r="B74" s="281" t="s">
        <v>206</v>
      </c>
      <c r="C74" s="282"/>
      <c r="D74" s="282"/>
      <c r="E74" s="283"/>
      <c r="F74" s="290" t="s">
        <v>207</v>
      </c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2"/>
      <c r="AA74" s="153"/>
    </row>
    <row r="75" spans="1:33" ht="12.95" customHeight="1">
      <c r="B75" s="284"/>
      <c r="C75" s="285"/>
      <c r="D75" s="285"/>
      <c r="E75" s="286"/>
      <c r="F75" s="293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5"/>
      <c r="AA75" s="153"/>
    </row>
    <row r="76" spans="1:33" ht="12.95" customHeight="1">
      <c r="B76" s="284"/>
      <c r="C76" s="285"/>
      <c r="D76" s="285"/>
      <c r="E76" s="286"/>
      <c r="F76" s="293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5"/>
      <c r="AA76" s="153"/>
    </row>
    <row r="77" spans="1:33" ht="12.95" customHeight="1">
      <c r="B77" s="287"/>
      <c r="C77" s="288"/>
      <c r="D77" s="288"/>
      <c r="E77" s="289"/>
      <c r="F77" s="296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8"/>
      <c r="AA77" s="153"/>
    </row>
    <row r="78" spans="1:33" ht="14.45" customHeight="1">
      <c r="A78" s="153"/>
      <c r="B78" s="299" t="s">
        <v>208</v>
      </c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AA78" s="153"/>
    </row>
    <row r="79" spans="1:33" ht="19.5" customHeight="1">
      <c r="B79" s="300" t="s">
        <v>209</v>
      </c>
      <c r="C79" s="300"/>
      <c r="D79" s="300"/>
      <c r="E79" s="300"/>
      <c r="H79" s="300" t="s">
        <v>38</v>
      </c>
      <c r="I79" s="300"/>
      <c r="J79" s="300"/>
      <c r="K79" s="67"/>
      <c r="L79" s="67"/>
      <c r="M79" s="67"/>
      <c r="N79" s="301"/>
      <c r="O79" s="301"/>
      <c r="P79" s="144"/>
      <c r="Q79" s="144"/>
      <c r="R79" s="144"/>
      <c r="S79" s="301" t="s">
        <v>210</v>
      </c>
      <c r="T79" s="301"/>
      <c r="U79" s="57"/>
      <c r="V79" s="57"/>
      <c r="W79" s="57"/>
      <c r="X79" s="57"/>
      <c r="Y79" s="57"/>
      <c r="AA79" s="107"/>
      <c r="AB79" s="114"/>
    </row>
    <row r="80" spans="1:33">
      <c r="AA80" s="57"/>
    </row>
  </sheetData>
  <protectedRanges>
    <protectedRange password="C60F" sqref="P78:S78" name="範圍1_1"/>
  </protectedRanges>
  <mergeCells count="285">
    <mergeCell ref="V27:V29"/>
    <mergeCell ref="W27:W29"/>
    <mergeCell ref="X27:X29"/>
    <mergeCell ref="Y3:Y7"/>
    <mergeCell ref="E4:E7"/>
    <mergeCell ref="F4:F7"/>
    <mergeCell ref="J5:J7"/>
    <mergeCell ref="K5:K7"/>
    <mergeCell ref="L5:L7"/>
    <mergeCell ref="M5:M7"/>
    <mergeCell ref="N5:N7"/>
    <mergeCell ref="O5:O7"/>
    <mergeCell ref="V14:V16"/>
    <mergeCell ref="W14:W16"/>
    <mergeCell ref="Y8:Y19"/>
    <mergeCell ref="E11:E13"/>
    <mergeCell ref="Q11:Q13"/>
    <mergeCell ref="R11:R13"/>
    <mergeCell ref="S11:S13"/>
    <mergeCell ref="T11:T13"/>
    <mergeCell ref="U11:U13"/>
    <mergeCell ref="V11:V13"/>
    <mergeCell ref="W11:W13"/>
    <mergeCell ref="S8:S10"/>
    <mergeCell ref="P1:V1"/>
    <mergeCell ref="E2:G2"/>
    <mergeCell ref="H2:O2"/>
    <mergeCell ref="P2:U2"/>
    <mergeCell ref="V2:X2"/>
    <mergeCell ref="B3:B7"/>
    <mergeCell ref="C3:C7"/>
    <mergeCell ref="D3:D7"/>
    <mergeCell ref="E3:P3"/>
    <mergeCell ref="Q3:S3"/>
    <mergeCell ref="T3:X3"/>
    <mergeCell ref="P5:P7"/>
    <mergeCell ref="S4:S7"/>
    <mergeCell ref="T4:T6"/>
    <mergeCell ref="U4:U6"/>
    <mergeCell ref="V4:V6"/>
    <mergeCell ref="W4:W6"/>
    <mergeCell ref="X4:X6"/>
    <mergeCell ref="G4:G7"/>
    <mergeCell ref="H4:H7"/>
    <mergeCell ref="I4:I7"/>
    <mergeCell ref="J4:P4"/>
    <mergeCell ref="Q4:Q7"/>
    <mergeCell ref="R4:R7"/>
    <mergeCell ref="V8:V10"/>
    <mergeCell ref="W8:W10"/>
    <mergeCell ref="M8:M19"/>
    <mergeCell ref="N8:N19"/>
    <mergeCell ref="O8:O19"/>
    <mergeCell ref="P8:P19"/>
    <mergeCell ref="Q8:Q10"/>
    <mergeCell ref="V17:V19"/>
    <mergeCell ref="W17:W19"/>
    <mergeCell ref="E17:E19"/>
    <mergeCell ref="Q17:Q19"/>
    <mergeCell ref="R17:R19"/>
    <mergeCell ref="S17:S19"/>
    <mergeCell ref="T17:T19"/>
    <mergeCell ref="U17:U19"/>
    <mergeCell ref="B8:B19"/>
    <mergeCell ref="C8:C19"/>
    <mergeCell ref="D8:D19"/>
    <mergeCell ref="E8:E10"/>
    <mergeCell ref="J8:J19"/>
    <mergeCell ref="K8:K19"/>
    <mergeCell ref="L8:L19"/>
    <mergeCell ref="E14:E16"/>
    <mergeCell ref="Q14:Q16"/>
    <mergeCell ref="R14:R16"/>
    <mergeCell ref="S14:S16"/>
    <mergeCell ref="T14:T16"/>
    <mergeCell ref="U14:U16"/>
    <mergeCell ref="R8:R10"/>
    <mergeCell ref="T8:T10"/>
    <mergeCell ref="U8:U10"/>
    <mergeCell ref="B20:D20"/>
    <mergeCell ref="E20:Y20"/>
    <mergeCell ref="B21:B32"/>
    <mergeCell ref="C21:C32"/>
    <mergeCell ref="D21:D32"/>
    <mergeCell ref="E21:E23"/>
    <mergeCell ref="J21:J32"/>
    <mergeCell ref="W21:W23"/>
    <mergeCell ref="X21:X23"/>
    <mergeCell ref="Y21:Y32"/>
    <mergeCell ref="R27:R29"/>
    <mergeCell ref="V21:V23"/>
    <mergeCell ref="K21:K32"/>
    <mergeCell ref="L21:L32"/>
    <mergeCell ref="M21:M32"/>
    <mergeCell ref="N21:N32"/>
    <mergeCell ref="O21:O32"/>
    <mergeCell ref="P21:P32"/>
    <mergeCell ref="V24:V26"/>
    <mergeCell ref="W24:W26"/>
    <mergeCell ref="E24:E26"/>
    <mergeCell ref="Q24:Q26"/>
    <mergeCell ref="R24:R26"/>
    <mergeCell ref="S24:S26"/>
    <mergeCell ref="T24:T26"/>
    <mergeCell ref="U24:U26"/>
    <mergeCell ref="Q21:Q23"/>
    <mergeCell ref="R21:R23"/>
    <mergeCell ref="S21:S23"/>
    <mergeCell ref="T21:T23"/>
    <mergeCell ref="U21:U23"/>
    <mergeCell ref="S27:S29"/>
    <mergeCell ref="T27:T29"/>
    <mergeCell ref="U27:U29"/>
    <mergeCell ref="E30:E32"/>
    <mergeCell ref="Q30:Q32"/>
    <mergeCell ref="R30:R32"/>
    <mergeCell ref="S30:S32"/>
    <mergeCell ref="T30:T32"/>
    <mergeCell ref="U30:U32"/>
    <mergeCell ref="V30:V32"/>
    <mergeCell ref="W30:W32"/>
    <mergeCell ref="X30:X32"/>
    <mergeCell ref="E27:E29"/>
    <mergeCell ref="Q27:Q29"/>
    <mergeCell ref="B33:D33"/>
    <mergeCell ref="E33:Y33"/>
    <mergeCell ref="B34:B46"/>
    <mergeCell ref="C34:C46"/>
    <mergeCell ref="D34:D46"/>
    <mergeCell ref="E34:E37"/>
    <mergeCell ref="J34:J46"/>
    <mergeCell ref="K34:K46"/>
    <mergeCell ref="L34:L46"/>
    <mergeCell ref="W34:W37"/>
    <mergeCell ref="X34:X37"/>
    <mergeCell ref="M34:M46"/>
    <mergeCell ref="N34:N46"/>
    <mergeCell ref="O34:O46"/>
    <mergeCell ref="P34:P46"/>
    <mergeCell ref="Q34:Q37"/>
    <mergeCell ref="R34:R37"/>
    <mergeCell ref="V41:V43"/>
    <mergeCell ref="W41:W43"/>
    <mergeCell ref="X41:X43"/>
    <mergeCell ref="E44:E46"/>
    <mergeCell ref="Q44:Q46"/>
    <mergeCell ref="R44:R46"/>
    <mergeCell ref="S44:S46"/>
    <mergeCell ref="T44:T46"/>
    <mergeCell ref="U44:U46"/>
    <mergeCell ref="V44:V46"/>
    <mergeCell ref="E41:E43"/>
    <mergeCell ref="Q41:Q43"/>
    <mergeCell ref="R41:R43"/>
    <mergeCell ref="S41:S43"/>
    <mergeCell ref="T41:T43"/>
    <mergeCell ref="U41:U43"/>
    <mergeCell ref="W44:W46"/>
    <mergeCell ref="X44:X46"/>
    <mergeCell ref="B47:D47"/>
    <mergeCell ref="E47:Y47"/>
    <mergeCell ref="B48:B59"/>
    <mergeCell ref="C48:C59"/>
    <mergeCell ref="D48:D59"/>
    <mergeCell ref="E48:E50"/>
    <mergeCell ref="J48:J59"/>
    <mergeCell ref="K48:K59"/>
    <mergeCell ref="Y34:Y46"/>
    <mergeCell ref="E38:E40"/>
    <mergeCell ref="Q38:Q40"/>
    <mergeCell ref="R38:R40"/>
    <mergeCell ref="S38:S40"/>
    <mergeCell ref="T38:T40"/>
    <mergeCell ref="U38:U40"/>
    <mergeCell ref="V38:V40"/>
    <mergeCell ref="W38:W40"/>
    <mergeCell ref="X38:X40"/>
    <mergeCell ref="S34:S37"/>
    <mergeCell ref="T34:T37"/>
    <mergeCell ref="U34:U37"/>
    <mergeCell ref="V34:V37"/>
    <mergeCell ref="E51:E53"/>
    <mergeCell ref="Q51:Q53"/>
    <mergeCell ref="R51:R53"/>
    <mergeCell ref="S51:S53"/>
    <mergeCell ref="T51:T53"/>
    <mergeCell ref="U51:U53"/>
    <mergeCell ref="V51:V53"/>
    <mergeCell ref="W51:W53"/>
    <mergeCell ref="R48:R50"/>
    <mergeCell ref="S48:S50"/>
    <mergeCell ref="T48:T50"/>
    <mergeCell ref="U48:U50"/>
    <mergeCell ref="V48:V50"/>
    <mergeCell ref="W48:W50"/>
    <mergeCell ref="L48:L59"/>
    <mergeCell ref="M48:M59"/>
    <mergeCell ref="N48:N59"/>
    <mergeCell ref="O48:O59"/>
    <mergeCell ref="P48:P59"/>
    <mergeCell ref="Q48:Q50"/>
    <mergeCell ref="E54:E56"/>
    <mergeCell ref="Q54:Q56"/>
    <mergeCell ref="R54:R56"/>
    <mergeCell ref="S54:S56"/>
    <mergeCell ref="H79:J79"/>
    <mergeCell ref="E60:Y60"/>
    <mergeCell ref="T57:T59"/>
    <mergeCell ref="U57:U59"/>
    <mergeCell ref="W61:W63"/>
    <mergeCell ref="X61:X63"/>
    <mergeCell ref="Y61:Y72"/>
    <mergeCell ref="T64:T66"/>
    <mergeCell ref="U64:U66"/>
    <mergeCell ref="V64:V66"/>
    <mergeCell ref="B74:E77"/>
    <mergeCell ref="F74:Y77"/>
    <mergeCell ref="B78:Y78"/>
    <mergeCell ref="B79:E79"/>
    <mergeCell ref="N79:O79"/>
    <mergeCell ref="X67:X69"/>
    <mergeCell ref="S79:T79"/>
    <mergeCell ref="B60:D60"/>
    <mergeCell ref="E70:E72"/>
    <mergeCell ref="Q70:Q72"/>
    <mergeCell ref="R70:R72"/>
    <mergeCell ref="S70:S72"/>
    <mergeCell ref="E64:E66"/>
    <mergeCell ref="Q64:Q66"/>
    <mergeCell ref="T54:T56"/>
    <mergeCell ref="U54:U56"/>
    <mergeCell ref="V54:V56"/>
    <mergeCell ref="W54:W56"/>
    <mergeCell ref="V57:V59"/>
    <mergeCell ref="W57:W59"/>
    <mergeCell ref="E57:E59"/>
    <mergeCell ref="Q57:Q59"/>
    <mergeCell ref="R57:R59"/>
    <mergeCell ref="S57:S59"/>
    <mergeCell ref="R64:R66"/>
    <mergeCell ref="S64:S66"/>
    <mergeCell ref="Q61:Q63"/>
    <mergeCell ref="T67:T69"/>
    <mergeCell ref="U67:U69"/>
    <mergeCell ref="V67:V69"/>
    <mergeCell ref="W67:W69"/>
    <mergeCell ref="B61:B72"/>
    <mergeCell ref="C61:C72"/>
    <mergeCell ref="D61:D72"/>
    <mergeCell ref="E61:E63"/>
    <mergeCell ref="J61:J72"/>
    <mergeCell ref="B73:D73"/>
    <mergeCell ref="E73:Y73"/>
    <mergeCell ref="W64:W66"/>
    <mergeCell ref="X64:X66"/>
    <mergeCell ref="R61:R63"/>
    <mergeCell ref="S61:S63"/>
    <mergeCell ref="T61:T63"/>
    <mergeCell ref="U61:U63"/>
    <mergeCell ref="V61:V63"/>
    <mergeCell ref="K61:K72"/>
    <mergeCell ref="L61:L72"/>
    <mergeCell ref="M61:M72"/>
    <mergeCell ref="N61:N72"/>
    <mergeCell ref="O61:O72"/>
    <mergeCell ref="P61:P72"/>
    <mergeCell ref="T70:T72"/>
    <mergeCell ref="U70:U72"/>
    <mergeCell ref="V70:V72"/>
    <mergeCell ref="W70:W72"/>
    <mergeCell ref="X70:X72"/>
    <mergeCell ref="E67:E69"/>
    <mergeCell ref="Q67:Q69"/>
    <mergeCell ref="R67:R69"/>
    <mergeCell ref="S67:S69"/>
    <mergeCell ref="X8:X10"/>
    <mergeCell ref="X11:X13"/>
    <mergeCell ref="X14:X16"/>
    <mergeCell ref="X17:X19"/>
    <mergeCell ref="X48:X50"/>
    <mergeCell ref="Y48:Y59"/>
    <mergeCell ref="X51:X53"/>
    <mergeCell ref="X24:X26"/>
    <mergeCell ref="X54:X56"/>
    <mergeCell ref="X57:X59"/>
  </mergeCells>
  <phoneticPr fontId="3" type="noConversion"/>
  <pageMargins left="0.59055118110236227" right="0.39370078740157483" top="0.19685039370078741" bottom="0" header="0" footer="0"/>
  <pageSetup paperSize="8" scale="12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/>
  <dimension ref="A1:AH81"/>
  <sheetViews>
    <sheetView tabSelected="1" zoomScaleNormal="100" workbookViewId="0">
      <selection activeCell="AA38" sqref="AA38"/>
    </sheetView>
  </sheetViews>
  <sheetFormatPr defaultColWidth="9" defaultRowHeight="16.5"/>
  <cols>
    <col min="1" max="1" width="5.375" style="119" customWidth="1"/>
    <col min="2" max="2" width="3.625" style="92" customWidth="1"/>
    <col min="3" max="4" width="3.625" style="153" customWidth="1"/>
    <col min="5" max="5" width="11.625" style="153" customWidth="1"/>
    <col min="6" max="6" width="6.5" style="153" customWidth="1"/>
    <col min="7" max="7" width="5.625" style="153" customWidth="1"/>
    <col min="8" max="8" width="6.25" style="153" customWidth="1"/>
    <col min="9" max="9" width="3.625" style="153" customWidth="1"/>
    <col min="10" max="10" width="4" style="153" customWidth="1"/>
    <col min="11" max="11" width="3.625" style="153" customWidth="1"/>
    <col min="12" max="12" width="4" style="153" customWidth="1"/>
    <col min="13" max="13" width="3.875" style="153" customWidth="1"/>
    <col min="14" max="14" width="4.5" style="153" customWidth="1"/>
    <col min="15" max="21" width="3.875" style="153" customWidth="1"/>
    <col min="22" max="22" width="4.5" style="153" customWidth="1"/>
    <col min="23" max="25" width="3.875" style="153" customWidth="1"/>
    <col min="26" max="26" width="2.5" style="153" customWidth="1"/>
    <col min="27" max="27" width="12.375" style="52" customWidth="1"/>
    <col min="28" max="16384" width="9" style="153"/>
  </cols>
  <sheetData>
    <row r="1" spans="1:33">
      <c r="A1" s="93"/>
      <c r="P1" s="223" t="s">
        <v>76</v>
      </c>
      <c r="Q1" s="223"/>
      <c r="R1" s="223"/>
      <c r="S1" s="223"/>
      <c r="T1" s="223"/>
      <c r="U1" s="223"/>
      <c r="V1" s="223"/>
      <c r="Y1" s="73">
        <v>22</v>
      </c>
      <c r="AA1" s="153"/>
    </row>
    <row r="2" spans="1:33" ht="15.75" customHeight="1">
      <c r="A2" s="170"/>
      <c r="B2" s="70"/>
      <c r="C2" s="74"/>
      <c r="D2" s="74"/>
      <c r="E2" s="224" t="s">
        <v>362</v>
      </c>
      <c r="F2" s="224"/>
      <c r="G2" s="224"/>
      <c r="H2" s="225" t="s">
        <v>231</v>
      </c>
      <c r="I2" s="225"/>
      <c r="J2" s="225"/>
      <c r="K2" s="225"/>
      <c r="L2" s="225"/>
      <c r="M2" s="225"/>
      <c r="N2" s="225"/>
      <c r="O2" s="225"/>
      <c r="P2" s="225" t="s">
        <v>78</v>
      </c>
      <c r="Q2" s="225"/>
      <c r="R2" s="225"/>
      <c r="S2" s="225"/>
      <c r="T2" s="225"/>
      <c r="U2" s="225"/>
      <c r="V2" s="226" t="s">
        <v>79</v>
      </c>
      <c r="W2" s="226"/>
      <c r="X2" s="226"/>
      <c r="Y2" s="153">
        <v>5</v>
      </c>
      <c r="Z2" s="85"/>
      <c r="AA2" s="153"/>
    </row>
    <row r="3" spans="1:33" s="155" customFormat="1" ht="12.95" customHeight="1">
      <c r="A3" s="170"/>
      <c r="B3" s="307" t="s">
        <v>135</v>
      </c>
      <c r="C3" s="248" t="s">
        <v>140</v>
      </c>
      <c r="D3" s="248" t="s">
        <v>141</v>
      </c>
      <c r="E3" s="249" t="s">
        <v>142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9" t="s">
        <v>143</v>
      </c>
      <c r="R3" s="250"/>
      <c r="S3" s="251"/>
      <c r="T3" s="249" t="s">
        <v>144</v>
      </c>
      <c r="U3" s="250"/>
      <c r="V3" s="250"/>
      <c r="W3" s="250"/>
      <c r="X3" s="251"/>
      <c r="Y3" s="248" t="s">
        <v>145</v>
      </c>
      <c r="Z3" s="84"/>
      <c r="AA3" s="153"/>
      <c r="AB3" s="153"/>
    </row>
    <row r="4" spans="1:33" s="155" customFormat="1" ht="12.95" customHeight="1">
      <c r="A4" s="170"/>
      <c r="B4" s="308"/>
      <c r="C4" s="310"/>
      <c r="D4" s="310"/>
      <c r="E4" s="244" t="s">
        <v>86</v>
      </c>
      <c r="F4" s="246" t="s">
        <v>39</v>
      </c>
      <c r="G4" s="227" t="s">
        <v>47</v>
      </c>
      <c r="H4" s="246" t="s">
        <v>39</v>
      </c>
      <c r="I4" s="227" t="s">
        <v>47</v>
      </c>
      <c r="J4" s="249" t="s">
        <v>41</v>
      </c>
      <c r="K4" s="250"/>
      <c r="L4" s="250"/>
      <c r="M4" s="250"/>
      <c r="N4" s="250"/>
      <c r="O4" s="250"/>
      <c r="P4" s="251"/>
      <c r="Q4" s="248" t="s">
        <v>146</v>
      </c>
      <c r="R4" s="248" t="s">
        <v>147</v>
      </c>
      <c r="S4" s="248" t="s">
        <v>148</v>
      </c>
      <c r="T4" s="248" t="s">
        <v>149</v>
      </c>
      <c r="U4" s="248" t="s">
        <v>150</v>
      </c>
      <c r="V4" s="248" t="s">
        <v>151</v>
      </c>
      <c r="W4" s="248" t="s">
        <v>152</v>
      </c>
      <c r="X4" s="248" t="s">
        <v>153</v>
      </c>
      <c r="Y4" s="310"/>
      <c r="Z4" s="84"/>
      <c r="AA4" s="153"/>
      <c r="AB4" s="153"/>
    </row>
    <row r="5" spans="1:33" s="155" customFormat="1" ht="12.95" customHeight="1">
      <c r="A5" s="170"/>
      <c r="B5" s="308"/>
      <c r="C5" s="310"/>
      <c r="D5" s="310"/>
      <c r="E5" s="244"/>
      <c r="F5" s="246"/>
      <c r="G5" s="227"/>
      <c r="H5" s="246"/>
      <c r="I5" s="227"/>
      <c r="J5" s="227" t="s">
        <v>95</v>
      </c>
      <c r="K5" s="227" t="s">
        <v>42</v>
      </c>
      <c r="L5" s="227" t="s">
        <v>43</v>
      </c>
      <c r="M5" s="227" t="s">
        <v>44</v>
      </c>
      <c r="N5" s="227" t="s">
        <v>45</v>
      </c>
      <c r="O5" s="234" t="s">
        <v>96</v>
      </c>
      <c r="P5" s="227" t="s">
        <v>46</v>
      </c>
      <c r="Q5" s="310"/>
      <c r="R5" s="310"/>
      <c r="S5" s="310"/>
      <c r="T5" s="310"/>
      <c r="U5" s="310"/>
      <c r="V5" s="310"/>
      <c r="W5" s="310"/>
      <c r="X5" s="310"/>
      <c r="Y5" s="310"/>
      <c r="Z5" s="84"/>
      <c r="AA5" s="153"/>
      <c r="AB5" s="153"/>
    </row>
    <row r="6" spans="1:33" s="155" customFormat="1" ht="12.95" customHeight="1">
      <c r="A6" s="170"/>
      <c r="B6" s="308"/>
      <c r="C6" s="310"/>
      <c r="D6" s="310"/>
      <c r="E6" s="244"/>
      <c r="F6" s="246"/>
      <c r="G6" s="227"/>
      <c r="H6" s="246"/>
      <c r="I6" s="227"/>
      <c r="J6" s="227"/>
      <c r="K6" s="227"/>
      <c r="L6" s="227"/>
      <c r="M6" s="227"/>
      <c r="N6" s="227"/>
      <c r="O6" s="234"/>
      <c r="P6" s="227"/>
      <c r="Q6" s="310"/>
      <c r="R6" s="310"/>
      <c r="S6" s="310"/>
      <c r="T6" s="311"/>
      <c r="U6" s="311"/>
      <c r="V6" s="311"/>
      <c r="W6" s="311"/>
      <c r="X6" s="311"/>
      <c r="Y6" s="310"/>
      <c r="Z6" s="84"/>
      <c r="AA6" s="153"/>
      <c r="AB6" s="153"/>
    </row>
    <row r="7" spans="1:33" s="155" customFormat="1" ht="12.95" customHeight="1">
      <c r="A7" s="170"/>
      <c r="B7" s="309"/>
      <c r="C7" s="311"/>
      <c r="D7" s="311"/>
      <c r="E7" s="245"/>
      <c r="F7" s="247"/>
      <c r="G7" s="227"/>
      <c r="H7" s="246"/>
      <c r="I7" s="248"/>
      <c r="J7" s="227"/>
      <c r="K7" s="227"/>
      <c r="L7" s="227"/>
      <c r="M7" s="227"/>
      <c r="N7" s="227"/>
      <c r="O7" s="234"/>
      <c r="P7" s="227"/>
      <c r="Q7" s="311"/>
      <c r="R7" s="311"/>
      <c r="S7" s="311"/>
      <c r="T7" s="152">
        <v>5</v>
      </c>
      <c r="U7" s="152">
        <v>4</v>
      </c>
      <c r="V7" s="152">
        <v>3</v>
      </c>
      <c r="W7" s="152">
        <v>2</v>
      </c>
      <c r="X7" s="152">
        <v>1</v>
      </c>
      <c r="Y7" s="311"/>
      <c r="Z7" s="84"/>
      <c r="AA7" s="153"/>
      <c r="AB7" s="153"/>
    </row>
    <row r="8" spans="1:33" ht="12.95" customHeight="1">
      <c r="A8" s="153">
        <v>269</v>
      </c>
      <c r="B8" s="264">
        <v>43822</v>
      </c>
      <c r="C8" s="228" t="s">
        <v>97</v>
      </c>
      <c r="D8" s="228" t="s">
        <v>98</v>
      </c>
      <c r="E8" s="267" t="s">
        <v>281</v>
      </c>
      <c r="F8" s="101" t="s">
        <v>215</v>
      </c>
      <c r="G8" s="117">
        <f>ROUND(67*A8/1000,0)</f>
        <v>18</v>
      </c>
      <c r="H8" s="103"/>
      <c r="I8" s="49"/>
      <c r="J8" s="231">
        <v>7</v>
      </c>
      <c r="K8" s="231">
        <v>2.2000000000000002</v>
      </c>
      <c r="L8" s="231">
        <v>1</v>
      </c>
      <c r="M8" s="231">
        <v>1.5</v>
      </c>
      <c r="N8" s="231">
        <v>0</v>
      </c>
      <c r="O8" s="231">
        <v>2.5</v>
      </c>
      <c r="P8" s="231">
        <f>SUM(J8*70+K8*75+L8*120+M8*25+N8*60+O8*45)</f>
        <v>925</v>
      </c>
      <c r="Q8" s="228"/>
      <c r="R8" s="228"/>
      <c r="S8" s="228"/>
      <c r="T8" s="228"/>
      <c r="U8" s="228"/>
      <c r="V8" s="228"/>
      <c r="W8" s="228"/>
      <c r="X8" s="228"/>
      <c r="Y8" s="252" t="s">
        <v>423</v>
      </c>
      <c r="Z8" s="85"/>
      <c r="AA8" s="153"/>
      <c r="AC8" s="155"/>
      <c r="AD8" s="155"/>
    </row>
    <row r="9" spans="1:33" ht="12.95" customHeight="1">
      <c r="B9" s="265"/>
      <c r="C9" s="229"/>
      <c r="D9" s="229"/>
      <c r="E9" s="244"/>
      <c r="F9" s="100" t="s">
        <v>71</v>
      </c>
      <c r="G9" s="195">
        <v>6</v>
      </c>
      <c r="H9" s="104"/>
      <c r="I9" s="146"/>
      <c r="J9" s="232"/>
      <c r="K9" s="232"/>
      <c r="L9" s="232"/>
      <c r="M9" s="232"/>
      <c r="N9" s="232"/>
      <c r="O9" s="232"/>
      <c r="P9" s="232"/>
      <c r="Q9" s="229"/>
      <c r="R9" s="229"/>
      <c r="S9" s="229"/>
      <c r="T9" s="229"/>
      <c r="U9" s="229"/>
      <c r="V9" s="229"/>
      <c r="W9" s="229"/>
      <c r="X9" s="229"/>
      <c r="Y9" s="253"/>
      <c r="Z9" s="85"/>
      <c r="AA9" s="153"/>
      <c r="AC9" s="155"/>
      <c r="AD9" s="155"/>
    </row>
    <row r="10" spans="1:33" ht="12.95" customHeight="1">
      <c r="B10" s="265"/>
      <c r="C10" s="229"/>
      <c r="D10" s="229"/>
      <c r="E10" s="245"/>
      <c r="F10" s="219" t="s">
        <v>445</v>
      </c>
      <c r="G10" s="147">
        <v>3</v>
      </c>
      <c r="H10" s="105"/>
      <c r="I10" s="147"/>
      <c r="J10" s="232"/>
      <c r="K10" s="232"/>
      <c r="L10" s="232"/>
      <c r="M10" s="232"/>
      <c r="N10" s="232"/>
      <c r="O10" s="232"/>
      <c r="P10" s="232"/>
      <c r="Q10" s="230"/>
      <c r="R10" s="230"/>
      <c r="S10" s="230"/>
      <c r="T10" s="230"/>
      <c r="U10" s="230"/>
      <c r="V10" s="230"/>
      <c r="W10" s="230"/>
      <c r="X10" s="230"/>
      <c r="Y10" s="253"/>
      <c r="Z10" s="85"/>
      <c r="AA10" s="153"/>
      <c r="AC10" s="155"/>
      <c r="AD10" s="155"/>
      <c r="AE10" s="155"/>
      <c r="AF10" s="155"/>
      <c r="AG10" s="155"/>
    </row>
    <row r="11" spans="1:33" ht="12.95" customHeight="1">
      <c r="B11" s="265"/>
      <c r="C11" s="229"/>
      <c r="D11" s="229"/>
      <c r="E11" s="267" t="s">
        <v>282</v>
      </c>
      <c r="F11" s="117" t="s">
        <v>232</v>
      </c>
      <c r="G11" s="49">
        <f>75*A8/1000</f>
        <v>20.175000000000001</v>
      </c>
      <c r="H11" s="146"/>
      <c r="I11" s="49"/>
      <c r="J11" s="232"/>
      <c r="K11" s="232"/>
      <c r="L11" s="232"/>
      <c r="M11" s="232"/>
      <c r="N11" s="232"/>
      <c r="O11" s="232"/>
      <c r="P11" s="232"/>
      <c r="Q11" s="228"/>
      <c r="R11" s="228"/>
      <c r="S11" s="228"/>
      <c r="T11" s="228"/>
      <c r="U11" s="228"/>
      <c r="V11" s="228"/>
      <c r="W11" s="228"/>
      <c r="X11" s="228"/>
      <c r="Y11" s="253"/>
      <c r="AA11" s="153"/>
      <c r="AC11" s="155"/>
      <c r="AD11" s="155"/>
      <c r="AE11" s="155"/>
      <c r="AF11" s="155"/>
      <c r="AG11" s="155"/>
    </row>
    <row r="12" spans="1:33" ht="12.95" customHeight="1">
      <c r="B12" s="265"/>
      <c r="C12" s="229"/>
      <c r="D12" s="229"/>
      <c r="E12" s="244"/>
      <c r="F12" s="146" t="s">
        <v>233</v>
      </c>
      <c r="G12" s="50">
        <f>10*A8/1000</f>
        <v>2.69</v>
      </c>
      <c r="H12" s="146"/>
      <c r="I12" s="146"/>
      <c r="J12" s="232"/>
      <c r="K12" s="232"/>
      <c r="L12" s="232"/>
      <c r="M12" s="232"/>
      <c r="N12" s="232"/>
      <c r="O12" s="232"/>
      <c r="P12" s="232"/>
      <c r="Q12" s="229"/>
      <c r="R12" s="229"/>
      <c r="S12" s="229"/>
      <c r="T12" s="229"/>
      <c r="U12" s="229"/>
      <c r="V12" s="229"/>
      <c r="W12" s="229"/>
      <c r="X12" s="229"/>
      <c r="Y12" s="253"/>
      <c r="AA12" s="153"/>
      <c r="AC12" s="155"/>
      <c r="AD12" s="155"/>
      <c r="AE12" s="155"/>
      <c r="AF12" s="155"/>
      <c r="AG12" s="155"/>
    </row>
    <row r="13" spans="1:33" ht="12.95" customHeight="1">
      <c r="B13" s="265"/>
      <c r="C13" s="229"/>
      <c r="D13" s="229"/>
      <c r="E13" s="245"/>
      <c r="F13" s="147"/>
      <c r="G13" s="51"/>
      <c r="H13" s="147"/>
      <c r="I13" s="147"/>
      <c r="J13" s="232"/>
      <c r="K13" s="232"/>
      <c r="L13" s="232"/>
      <c r="M13" s="232"/>
      <c r="N13" s="232"/>
      <c r="O13" s="232"/>
      <c r="P13" s="232"/>
      <c r="Q13" s="230"/>
      <c r="R13" s="230"/>
      <c r="S13" s="230"/>
      <c r="T13" s="230"/>
      <c r="U13" s="230"/>
      <c r="V13" s="230"/>
      <c r="W13" s="230"/>
      <c r="X13" s="230"/>
      <c r="Y13" s="253"/>
      <c r="AA13" s="153"/>
      <c r="AC13" s="155"/>
      <c r="AD13" s="155"/>
      <c r="AE13" s="155"/>
      <c r="AF13" s="155"/>
      <c r="AG13" s="155"/>
    </row>
    <row r="14" spans="1:33" ht="12.95" customHeight="1">
      <c r="B14" s="265"/>
      <c r="C14" s="229"/>
      <c r="D14" s="229"/>
      <c r="E14" s="247" t="s">
        <v>104</v>
      </c>
      <c r="F14" s="145" t="s">
        <v>339</v>
      </c>
      <c r="G14" s="49">
        <f>80*A8/1000</f>
        <v>21.52</v>
      </c>
      <c r="H14" s="53"/>
      <c r="I14" s="53"/>
      <c r="J14" s="232"/>
      <c r="K14" s="232"/>
      <c r="L14" s="232"/>
      <c r="M14" s="232"/>
      <c r="N14" s="232"/>
      <c r="O14" s="232"/>
      <c r="P14" s="232"/>
      <c r="Q14" s="228"/>
      <c r="R14" s="228"/>
      <c r="S14" s="228"/>
      <c r="T14" s="228"/>
      <c r="U14" s="228"/>
      <c r="V14" s="228"/>
      <c r="W14" s="228"/>
      <c r="X14" s="228"/>
      <c r="Y14" s="253"/>
      <c r="AA14" s="153"/>
      <c r="AC14" s="155"/>
      <c r="AD14" s="155"/>
      <c r="AE14" s="155"/>
      <c r="AF14" s="155"/>
      <c r="AG14" s="155"/>
    </row>
    <row r="15" spans="1:33" ht="12.95" customHeight="1">
      <c r="B15" s="265"/>
      <c r="C15" s="229"/>
      <c r="D15" s="229"/>
      <c r="E15" s="244"/>
      <c r="F15" s="156" t="s">
        <v>340</v>
      </c>
      <c r="G15" s="146">
        <v>3</v>
      </c>
      <c r="H15" s="48"/>
      <c r="I15" s="48"/>
      <c r="J15" s="232"/>
      <c r="K15" s="232"/>
      <c r="L15" s="232"/>
      <c r="M15" s="232"/>
      <c r="N15" s="232"/>
      <c r="O15" s="232"/>
      <c r="P15" s="232"/>
      <c r="Q15" s="229"/>
      <c r="R15" s="229"/>
      <c r="S15" s="229"/>
      <c r="T15" s="229"/>
      <c r="U15" s="229"/>
      <c r="V15" s="229"/>
      <c r="W15" s="229"/>
      <c r="X15" s="229"/>
      <c r="Y15" s="253"/>
      <c r="AA15" s="153"/>
      <c r="AC15" s="155"/>
      <c r="AD15" s="155"/>
      <c r="AE15" s="155"/>
      <c r="AF15" s="155"/>
      <c r="AG15" s="155"/>
    </row>
    <row r="16" spans="1:33" ht="12.95" customHeight="1">
      <c r="B16" s="265"/>
      <c r="C16" s="229"/>
      <c r="D16" s="229"/>
      <c r="E16" s="245"/>
      <c r="F16" s="147"/>
      <c r="G16" s="147"/>
      <c r="H16" s="54"/>
      <c r="I16" s="54"/>
      <c r="J16" s="232"/>
      <c r="K16" s="232"/>
      <c r="L16" s="232"/>
      <c r="M16" s="232"/>
      <c r="N16" s="232"/>
      <c r="O16" s="232"/>
      <c r="P16" s="232"/>
      <c r="Q16" s="230"/>
      <c r="R16" s="230"/>
      <c r="S16" s="230"/>
      <c r="T16" s="230"/>
      <c r="U16" s="230"/>
      <c r="V16" s="230"/>
      <c r="W16" s="230"/>
      <c r="X16" s="230"/>
      <c r="Y16" s="253"/>
      <c r="AA16" s="153"/>
      <c r="AC16" s="155"/>
      <c r="AD16" s="155"/>
      <c r="AE16" s="155"/>
      <c r="AF16" s="155"/>
      <c r="AG16" s="155"/>
    </row>
    <row r="17" spans="1:33" ht="12.95" customHeight="1">
      <c r="B17" s="265"/>
      <c r="C17" s="229"/>
      <c r="D17" s="229"/>
      <c r="E17" s="267" t="s">
        <v>285</v>
      </c>
      <c r="F17" s="90" t="s">
        <v>73</v>
      </c>
      <c r="G17" s="201">
        <v>12</v>
      </c>
      <c r="H17" s="117"/>
      <c r="I17" s="117"/>
      <c r="J17" s="232"/>
      <c r="K17" s="232"/>
      <c r="L17" s="232"/>
      <c r="M17" s="232"/>
      <c r="N17" s="232"/>
      <c r="O17" s="232"/>
      <c r="P17" s="232"/>
      <c r="Q17" s="228"/>
      <c r="R17" s="228"/>
      <c r="S17" s="228"/>
      <c r="T17" s="228"/>
      <c r="U17" s="228"/>
      <c r="V17" s="228"/>
      <c r="W17" s="228"/>
      <c r="X17" s="228"/>
      <c r="Y17" s="253"/>
      <c r="AA17" s="153"/>
      <c r="AC17" s="155"/>
      <c r="AD17" s="155"/>
      <c r="AE17" s="155"/>
      <c r="AF17" s="155"/>
      <c r="AG17" s="155"/>
    </row>
    <row r="18" spans="1:33" ht="12.95" customHeight="1">
      <c r="B18" s="265"/>
      <c r="C18" s="229"/>
      <c r="D18" s="229"/>
      <c r="E18" s="244"/>
      <c r="F18" s="59" t="s">
        <v>74</v>
      </c>
      <c r="G18" s="201">
        <v>3</v>
      </c>
      <c r="H18" s="146"/>
      <c r="I18" s="78"/>
      <c r="J18" s="232"/>
      <c r="K18" s="232"/>
      <c r="L18" s="232"/>
      <c r="M18" s="232"/>
      <c r="N18" s="232"/>
      <c r="O18" s="232"/>
      <c r="P18" s="232"/>
      <c r="Q18" s="229"/>
      <c r="R18" s="229"/>
      <c r="S18" s="229"/>
      <c r="T18" s="229"/>
      <c r="U18" s="229"/>
      <c r="V18" s="229"/>
      <c r="W18" s="229"/>
      <c r="X18" s="229"/>
      <c r="Y18" s="253"/>
      <c r="AA18" s="153"/>
      <c r="AC18" s="155"/>
      <c r="AD18" s="155"/>
      <c r="AE18" s="155"/>
      <c r="AF18" s="155"/>
      <c r="AG18" s="155"/>
    </row>
    <row r="19" spans="1:33" ht="12.95" customHeight="1">
      <c r="B19" s="266"/>
      <c r="C19" s="230"/>
      <c r="D19" s="229"/>
      <c r="E19" s="245"/>
      <c r="F19" s="146" t="s">
        <v>75</v>
      </c>
      <c r="G19" s="146">
        <f>ROUND(0.5*A8/1000,1)</f>
        <v>0.1</v>
      </c>
      <c r="H19" s="147"/>
      <c r="I19" s="48"/>
      <c r="J19" s="233"/>
      <c r="K19" s="233"/>
      <c r="L19" s="233"/>
      <c r="M19" s="233"/>
      <c r="N19" s="233"/>
      <c r="O19" s="233"/>
      <c r="P19" s="233"/>
      <c r="Q19" s="230"/>
      <c r="R19" s="230"/>
      <c r="S19" s="230"/>
      <c r="T19" s="230"/>
      <c r="U19" s="230"/>
      <c r="V19" s="230"/>
      <c r="W19" s="230"/>
      <c r="X19" s="230"/>
      <c r="Y19" s="254"/>
      <c r="AA19" s="153"/>
      <c r="AC19" s="155"/>
      <c r="AD19" s="155"/>
      <c r="AE19" s="155"/>
      <c r="AF19" s="155"/>
      <c r="AG19" s="155"/>
    </row>
    <row r="20" spans="1:33" s="68" customFormat="1" ht="12.95" customHeight="1">
      <c r="A20" s="191"/>
      <c r="B20" s="258" t="s">
        <v>37</v>
      </c>
      <c r="C20" s="259"/>
      <c r="D20" s="260"/>
      <c r="E20" s="279" t="s">
        <v>250</v>
      </c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3"/>
      <c r="AA20" s="153"/>
      <c r="AB20" s="153"/>
      <c r="AC20" s="155"/>
      <c r="AD20" s="155"/>
      <c r="AE20" s="155"/>
      <c r="AF20" s="155"/>
      <c r="AG20" s="155"/>
    </row>
    <row r="21" spans="1:33" ht="12.95" customHeight="1">
      <c r="A21" s="189">
        <v>269</v>
      </c>
      <c r="B21" s="264">
        <v>43823</v>
      </c>
      <c r="C21" s="228" t="s">
        <v>106</v>
      </c>
      <c r="D21" s="228" t="s">
        <v>367</v>
      </c>
      <c r="E21" s="267" t="s">
        <v>399</v>
      </c>
      <c r="F21" s="167" t="s">
        <v>400</v>
      </c>
      <c r="G21" s="148">
        <f>ROUND(55.8*A21/1000,0)</f>
        <v>15</v>
      </c>
      <c r="H21" s="53"/>
      <c r="I21" s="53"/>
      <c r="J21" s="231">
        <v>5.4</v>
      </c>
      <c r="K21" s="231">
        <v>2.2000000000000002</v>
      </c>
      <c r="L21" s="231">
        <v>0</v>
      </c>
      <c r="M21" s="231">
        <v>1.3</v>
      </c>
      <c r="N21" s="231">
        <v>0</v>
      </c>
      <c r="O21" s="231">
        <v>2.5</v>
      </c>
      <c r="P21" s="231">
        <f>SUM(J21*70+K21*75+L21*120+M21*25+N21*60+O21*45)</f>
        <v>688</v>
      </c>
      <c r="Q21" s="228"/>
      <c r="R21" s="228"/>
      <c r="S21" s="228"/>
      <c r="T21" s="228"/>
      <c r="U21" s="228"/>
      <c r="V21" s="228"/>
      <c r="W21" s="228"/>
      <c r="X21" s="228"/>
      <c r="Y21" s="268"/>
      <c r="AA21" s="153"/>
      <c r="AC21" s="155"/>
      <c r="AD21" s="155"/>
      <c r="AE21" s="155"/>
      <c r="AF21" s="155"/>
      <c r="AG21" s="155"/>
    </row>
    <row r="22" spans="1:33" ht="12.95" customHeight="1">
      <c r="A22" s="190"/>
      <c r="B22" s="265"/>
      <c r="C22" s="229"/>
      <c r="D22" s="229"/>
      <c r="E22" s="244"/>
      <c r="F22" s="168" t="s">
        <v>401</v>
      </c>
      <c r="G22" s="149">
        <f>ROUND(0.7*A21/1000,1)</f>
        <v>0.2</v>
      </c>
      <c r="H22" s="48" t="s">
        <v>402</v>
      </c>
      <c r="I22" s="48"/>
      <c r="J22" s="232"/>
      <c r="K22" s="232"/>
      <c r="L22" s="232"/>
      <c r="M22" s="232"/>
      <c r="N22" s="232"/>
      <c r="O22" s="232"/>
      <c r="P22" s="232"/>
      <c r="Q22" s="229"/>
      <c r="R22" s="229"/>
      <c r="S22" s="229"/>
      <c r="T22" s="229"/>
      <c r="U22" s="229"/>
      <c r="V22" s="229"/>
      <c r="W22" s="229"/>
      <c r="X22" s="229"/>
      <c r="Y22" s="269"/>
      <c r="AA22" s="153"/>
      <c r="AC22" s="155"/>
      <c r="AD22" s="155"/>
      <c r="AE22" s="155"/>
      <c r="AF22" s="155"/>
      <c r="AG22" s="155"/>
    </row>
    <row r="23" spans="1:33" ht="12.95" customHeight="1">
      <c r="A23" s="190"/>
      <c r="B23" s="265"/>
      <c r="C23" s="229"/>
      <c r="D23" s="229"/>
      <c r="E23" s="245"/>
      <c r="F23" s="169" t="s">
        <v>403</v>
      </c>
      <c r="G23" s="150">
        <f>ROUND(40.8*A21/1000,0)</f>
        <v>11</v>
      </c>
      <c r="H23" s="54"/>
      <c r="I23" s="54"/>
      <c r="J23" s="232"/>
      <c r="K23" s="232"/>
      <c r="L23" s="232"/>
      <c r="M23" s="232"/>
      <c r="N23" s="232"/>
      <c r="O23" s="232"/>
      <c r="P23" s="232"/>
      <c r="Q23" s="230"/>
      <c r="R23" s="230"/>
      <c r="S23" s="230"/>
      <c r="T23" s="230"/>
      <c r="U23" s="230"/>
      <c r="V23" s="230"/>
      <c r="W23" s="230"/>
      <c r="X23" s="230"/>
      <c r="Y23" s="269"/>
      <c r="AA23" s="153"/>
    </row>
    <row r="24" spans="1:33" ht="12.95" customHeight="1">
      <c r="A24" s="190"/>
      <c r="B24" s="265"/>
      <c r="C24" s="229"/>
      <c r="D24" s="229"/>
      <c r="E24" s="267" t="s">
        <v>328</v>
      </c>
      <c r="F24" s="129" t="s">
        <v>324</v>
      </c>
      <c r="G24" s="76">
        <f>ROUND(50*A21/1000,0)</f>
        <v>13</v>
      </c>
      <c r="H24" s="130"/>
      <c r="I24" s="76"/>
      <c r="J24" s="232"/>
      <c r="K24" s="232"/>
      <c r="L24" s="232"/>
      <c r="M24" s="232"/>
      <c r="N24" s="232"/>
      <c r="O24" s="232"/>
      <c r="P24" s="232"/>
      <c r="Q24" s="228"/>
      <c r="R24" s="228"/>
      <c r="S24" s="228"/>
      <c r="T24" s="228"/>
      <c r="U24" s="228"/>
      <c r="V24" s="228"/>
      <c r="W24" s="228"/>
      <c r="X24" s="228"/>
      <c r="Y24" s="269"/>
      <c r="AA24" s="153"/>
    </row>
    <row r="25" spans="1:33" ht="12.95" customHeight="1">
      <c r="A25" s="190"/>
      <c r="B25" s="265"/>
      <c r="C25" s="229"/>
      <c r="D25" s="229"/>
      <c r="E25" s="244"/>
      <c r="F25" s="129" t="s">
        <v>325</v>
      </c>
      <c r="G25" s="76">
        <f>ROUND(15*A21/1000,0)</f>
        <v>4</v>
      </c>
      <c r="H25" s="63"/>
      <c r="I25" s="63"/>
      <c r="J25" s="232"/>
      <c r="K25" s="232"/>
      <c r="L25" s="232"/>
      <c r="M25" s="232"/>
      <c r="N25" s="232"/>
      <c r="O25" s="232"/>
      <c r="P25" s="232"/>
      <c r="Q25" s="229"/>
      <c r="R25" s="229"/>
      <c r="S25" s="229"/>
      <c r="T25" s="229"/>
      <c r="U25" s="229"/>
      <c r="V25" s="229"/>
      <c r="W25" s="229"/>
      <c r="X25" s="229"/>
      <c r="Y25" s="269"/>
      <c r="AA25" s="153"/>
    </row>
    <row r="26" spans="1:33" ht="12.95" customHeight="1">
      <c r="A26" s="190"/>
      <c r="B26" s="265"/>
      <c r="C26" s="229"/>
      <c r="D26" s="229"/>
      <c r="E26" s="245"/>
      <c r="F26" s="131" t="s">
        <v>326</v>
      </c>
      <c r="G26" s="77">
        <f>ROUND(10*A21/1000,0)</f>
        <v>3</v>
      </c>
      <c r="H26" s="65"/>
      <c r="I26" s="65"/>
      <c r="J26" s="232"/>
      <c r="K26" s="232"/>
      <c r="L26" s="232"/>
      <c r="M26" s="232"/>
      <c r="N26" s="232"/>
      <c r="O26" s="232"/>
      <c r="P26" s="232"/>
      <c r="Q26" s="230"/>
      <c r="R26" s="230"/>
      <c r="S26" s="230"/>
      <c r="T26" s="230"/>
      <c r="U26" s="230"/>
      <c r="V26" s="230"/>
      <c r="W26" s="230"/>
      <c r="X26" s="230"/>
      <c r="Y26" s="269"/>
      <c r="AA26" s="153"/>
    </row>
    <row r="27" spans="1:33" ht="12.95" customHeight="1">
      <c r="A27" s="190"/>
      <c r="B27" s="265"/>
      <c r="C27" s="229"/>
      <c r="D27" s="229"/>
      <c r="E27" s="247" t="s">
        <v>104</v>
      </c>
      <c r="F27" s="145" t="s">
        <v>341</v>
      </c>
      <c r="G27" s="49">
        <v>21.52</v>
      </c>
      <c r="H27" s="117"/>
      <c r="I27" s="117"/>
      <c r="J27" s="232"/>
      <c r="K27" s="232"/>
      <c r="L27" s="232"/>
      <c r="M27" s="232"/>
      <c r="N27" s="232"/>
      <c r="O27" s="232"/>
      <c r="P27" s="232"/>
      <c r="Q27" s="228"/>
      <c r="R27" s="228"/>
      <c r="S27" s="228"/>
      <c r="T27" s="228"/>
      <c r="U27" s="228"/>
      <c r="V27" s="228"/>
      <c r="W27" s="228"/>
      <c r="X27" s="228"/>
      <c r="Y27" s="269"/>
      <c r="AA27" s="153"/>
    </row>
    <row r="28" spans="1:33" ht="12.95" customHeight="1">
      <c r="A28" s="190"/>
      <c r="B28" s="265"/>
      <c r="C28" s="229"/>
      <c r="D28" s="229"/>
      <c r="E28" s="244"/>
      <c r="F28" s="156" t="s">
        <v>342</v>
      </c>
      <c r="G28" s="156" t="s">
        <v>343</v>
      </c>
      <c r="H28" s="146"/>
      <c r="I28" s="146"/>
      <c r="J28" s="232"/>
      <c r="K28" s="232"/>
      <c r="L28" s="232"/>
      <c r="M28" s="232"/>
      <c r="N28" s="232"/>
      <c r="O28" s="232"/>
      <c r="P28" s="232"/>
      <c r="Q28" s="229"/>
      <c r="R28" s="229"/>
      <c r="S28" s="229"/>
      <c r="T28" s="229"/>
      <c r="U28" s="229"/>
      <c r="V28" s="229"/>
      <c r="W28" s="229"/>
      <c r="X28" s="229"/>
      <c r="Y28" s="269"/>
      <c r="AA28" s="153"/>
    </row>
    <row r="29" spans="1:33" ht="12.95" customHeight="1">
      <c r="A29" s="190"/>
      <c r="B29" s="265"/>
      <c r="C29" s="229"/>
      <c r="D29" s="229"/>
      <c r="E29" s="245"/>
      <c r="F29" s="147"/>
      <c r="G29" s="147"/>
      <c r="H29" s="147"/>
      <c r="I29" s="147"/>
      <c r="J29" s="232"/>
      <c r="K29" s="232"/>
      <c r="L29" s="232"/>
      <c r="M29" s="232"/>
      <c r="N29" s="232"/>
      <c r="O29" s="232"/>
      <c r="P29" s="232"/>
      <c r="Q29" s="230"/>
      <c r="R29" s="230"/>
      <c r="S29" s="230"/>
      <c r="T29" s="230"/>
      <c r="U29" s="230"/>
      <c r="V29" s="230"/>
      <c r="W29" s="230"/>
      <c r="X29" s="230"/>
      <c r="Y29" s="269"/>
      <c r="AA29" s="153"/>
    </row>
    <row r="30" spans="1:33" ht="12.95" customHeight="1">
      <c r="A30" s="190"/>
      <c r="B30" s="265"/>
      <c r="C30" s="229"/>
      <c r="D30" s="229"/>
      <c r="E30" s="324" t="s">
        <v>454</v>
      </c>
      <c r="F30" s="216" t="s">
        <v>455</v>
      </c>
      <c r="G30" s="75">
        <v>3</v>
      </c>
      <c r="H30" s="53"/>
      <c r="I30" s="53"/>
      <c r="J30" s="232"/>
      <c r="K30" s="232"/>
      <c r="L30" s="232"/>
      <c r="M30" s="232"/>
      <c r="N30" s="232"/>
      <c r="O30" s="232"/>
      <c r="P30" s="232"/>
      <c r="Q30" s="228"/>
      <c r="R30" s="228"/>
      <c r="S30" s="228"/>
      <c r="T30" s="228"/>
      <c r="U30" s="228"/>
      <c r="V30" s="228"/>
      <c r="W30" s="228"/>
      <c r="X30" s="228"/>
      <c r="Y30" s="269"/>
      <c r="AA30" s="153"/>
    </row>
    <row r="31" spans="1:33" ht="12.95" customHeight="1">
      <c r="A31" s="190"/>
      <c r="B31" s="265"/>
      <c r="C31" s="229"/>
      <c r="D31" s="229"/>
      <c r="E31" s="325"/>
      <c r="F31" s="195" t="s">
        <v>431</v>
      </c>
      <c r="G31" s="195">
        <v>9</v>
      </c>
      <c r="H31" s="48"/>
      <c r="I31" s="48"/>
      <c r="J31" s="232"/>
      <c r="K31" s="232"/>
      <c r="L31" s="232"/>
      <c r="M31" s="232"/>
      <c r="N31" s="232"/>
      <c r="O31" s="232"/>
      <c r="P31" s="232"/>
      <c r="Q31" s="229"/>
      <c r="R31" s="229"/>
      <c r="S31" s="229"/>
      <c r="T31" s="229"/>
      <c r="U31" s="229"/>
      <c r="V31" s="229"/>
      <c r="W31" s="229"/>
      <c r="X31" s="229"/>
      <c r="Y31" s="269"/>
      <c r="AA31" s="153"/>
    </row>
    <row r="32" spans="1:33" ht="12.95" customHeight="1">
      <c r="A32" s="190"/>
      <c r="B32" s="266"/>
      <c r="C32" s="230"/>
      <c r="D32" s="229"/>
      <c r="E32" s="326"/>
      <c r="F32" s="180"/>
      <c r="G32" s="180"/>
      <c r="H32" s="54"/>
      <c r="I32" s="54"/>
      <c r="J32" s="233"/>
      <c r="K32" s="233"/>
      <c r="L32" s="233"/>
      <c r="M32" s="233"/>
      <c r="N32" s="233"/>
      <c r="O32" s="233"/>
      <c r="P32" s="233"/>
      <c r="Q32" s="230"/>
      <c r="R32" s="230"/>
      <c r="S32" s="230"/>
      <c r="T32" s="230"/>
      <c r="U32" s="230"/>
      <c r="V32" s="230"/>
      <c r="W32" s="230"/>
      <c r="X32" s="230"/>
      <c r="Y32" s="270"/>
      <c r="AA32" s="153"/>
    </row>
    <row r="33" spans="1:34" s="68" customFormat="1" ht="12.95" customHeight="1">
      <c r="A33" s="191"/>
      <c r="B33" s="258" t="s">
        <v>37</v>
      </c>
      <c r="C33" s="259"/>
      <c r="D33" s="260"/>
      <c r="E33" s="279" t="s">
        <v>420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3"/>
      <c r="AA33" s="153"/>
      <c r="AB33" s="153"/>
      <c r="AC33" s="153"/>
      <c r="AD33" s="153"/>
      <c r="AE33" s="153"/>
      <c r="AF33" s="153"/>
      <c r="AG33" s="153"/>
      <c r="AH33" s="153"/>
    </row>
    <row r="34" spans="1:34" ht="12.95" customHeight="1">
      <c r="A34" s="189">
        <v>269</v>
      </c>
      <c r="B34" s="264">
        <v>43824</v>
      </c>
      <c r="C34" s="228" t="s">
        <v>234</v>
      </c>
      <c r="D34" s="228" t="s">
        <v>235</v>
      </c>
      <c r="E34" s="267" t="s">
        <v>300</v>
      </c>
      <c r="F34" s="110" t="s">
        <v>301</v>
      </c>
      <c r="G34" s="94">
        <f>23.5*A34/1000</f>
        <v>6.3215000000000003</v>
      </c>
      <c r="H34" s="110" t="s">
        <v>302</v>
      </c>
      <c r="I34" s="94">
        <f>18*A34/1000</f>
        <v>4.8419999999999996</v>
      </c>
      <c r="J34" s="231">
        <v>5.6</v>
      </c>
      <c r="K34" s="231">
        <v>2.5</v>
      </c>
      <c r="L34" s="231">
        <v>0</v>
      </c>
      <c r="M34" s="231">
        <v>1.7</v>
      </c>
      <c r="N34" s="231">
        <v>1</v>
      </c>
      <c r="O34" s="231">
        <v>2.5</v>
      </c>
      <c r="P34" s="231">
        <f>K34*75+J34*70+L34*120+M34*25+N34*60+O34*45</f>
        <v>794.5</v>
      </c>
      <c r="Q34" s="228"/>
      <c r="R34" s="228"/>
      <c r="S34" s="228"/>
      <c r="T34" s="228"/>
      <c r="U34" s="228"/>
      <c r="V34" s="228"/>
      <c r="W34" s="228"/>
      <c r="X34" s="228"/>
      <c r="Y34" s="228"/>
      <c r="AA34" s="153"/>
    </row>
    <row r="35" spans="1:34" ht="12.95" customHeight="1">
      <c r="A35" s="190"/>
      <c r="B35" s="265"/>
      <c r="C35" s="229"/>
      <c r="D35" s="229"/>
      <c r="E35" s="244"/>
      <c r="F35" s="95" t="s">
        <v>303</v>
      </c>
      <c r="G35" s="332">
        <v>6</v>
      </c>
      <c r="H35" s="95" t="s">
        <v>304</v>
      </c>
      <c r="I35" s="66">
        <f>15*A34/1000</f>
        <v>4.0350000000000001</v>
      </c>
      <c r="J35" s="232"/>
      <c r="K35" s="232"/>
      <c r="L35" s="232"/>
      <c r="M35" s="232"/>
      <c r="N35" s="232"/>
      <c r="O35" s="232"/>
      <c r="P35" s="232"/>
      <c r="Q35" s="229"/>
      <c r="R35" s="229"/>
      <c r="S35" s="229"/>
      <c r="T35" s="229"/>
      <c r="U35" s="229"/>
      <c r="V35" s="229"/>
      <c r="W35" s="229"/>
      <c r="X35" s="229"/>
      <c r="Y35" s="229"/>
      <c r="AA35" s="153"/>
    </row>
    <row r="36" spans="1:34" ht="12.95" customHeight="1">
      <c r="A36" s="190"/>
      <c r="B36" s="265"/>
      <c r="C36" s="229"/>
      <c r="D36" s="229"/>
      <c r="E36" s="244"/>
      <c r="F36" s="161" t="s">
        <v>370</v>
      </c>
      <c r="G36" s="66">
        <f>8*A34/1000</f>
        <v>2.1520000000000001</v>
      </c>
      <c r="H36" s="111" t="s">
        <v>305</v>
      </c>
      <c r="I36" s="333">
        <v>3</v>
      </c>
      <c r="J36" s="232"/>
      <c r="K36" s="232"/>
      <c r="L36" s="232"/>
      <c r="M36" s="232"/>
      <c r="N36" s="232"/>
      <c r="O36" s="232"/>
      <c r="P36" s="232"/>
      <c r="Q36" s="229"/>
      <c r="R36" s="229"/>
      <c r="S36" s="229"/>
      <c r="T36" s="229"/>
      <c r="U36" s="229"/>
      <c r="V36" s="229"/>
      <c r="W36" s="229"/>
      <c r="X36" s="229"/>
      <c r="Y36" s="229"/>
      <c r="AA36" s="153"/>
    </row>
    <row r="37" spans="1:34" ht="12.95" customHeight="1">
      <c r="A37" s="190"/>
      <c r="B37" s="265"/>
      <c r="C37" s="229"/>
      <c r="D37" s="229"/>
      <c r="E37" s="247" t="s">
        <v>236</v>
      </c>
      <c r="F37" s="145" t="s">
        <v>341</v>
      </c>
      <c r="G37" s="49">
        <v>21.52</v>
      </c>
      <c r="H37" s="146"/>
      <c r="I37" s="146"/>
      <c r="J37" s="232"/>
      <c r="K37" s="232"/>
      <c r="L37" s="232"/>
      <c r="M37" s="232"/>
      <c r="N37" s="232"/>
      <c r="O37" s="232"/>
      <c r="P37" s="232"/>
      <c r="Q37" s="228"/>
      <c r="R37" s="228"/>
      <c r="S37" s="228"/>
      <c r="T37" s="228"/>
      <c r="U37" s="228"/>
      <c r="V37" s="228"/>
      <c r="W37" s="228"/>
      <c r="X37" s="228"/>
      <c r="Y37" s="229"/>
      <c r="AA37" s="153"/>
    </row>
    <row r="38" spans="1:34" ht="12.95" customHeight="1">
      <c r="A38" s="190"/>
      <c r="B38" s="265"/>
      <c r="C38" s="229"/>
      <c r="D38" s="229"/>
      <c r="E38" s="244"/>
      <c r="F38" s="156" t="s">
        <v>342</v>
      </c>
      <c r="G38" s="156" t="s">
        <v>343</v>
      </c>
      <c r="H38" s="146"/>
      <c r="I38" s="146"/>
      <c r="J38" s="232"/>
      <c r="K38" s="232"/>
      <c r="L38" s="232"/>
      <c r="M38" s="232"/>
      <c r="N38" s="232"/>
      <c r="O38" s="232"/>
      <c r="P38" s="232"/>
      <c r="Q38" s="229"/>
      <c r="R38" s="229"/>
      <c r="S38" s="229"/>
      <c r="T38" s="229"/>
      <c r="U38" s="229"/>
      <c r="V38" s="229"/>
      <c r="W38" s="229"/>
      <c r="X38" s="229"/>
      <c r="Y38" s="229"/>
      <c r="AA38" s="153"/>
    </row>
    <row r="39" spans="1:34" ht="12.95" customHeight="1">
      <c r="A39" s="190"/>
      <c r="B39" s="265"/>
      <c r="C39" s="229"/>
      <c r="D39" s="229"/>
      <c r="E39" s="245"/>
      <c r="F39" s="147"/>
      <c r="G39" s="147"/>
      <c r="H39" s="147"/>
      <c r="I39" s="147"/>
      <c r="J39" s="232"/>
      <c r="K39" s="232"/>
      <c r="L39" s="232"/>
      <c r="M39" s="232"/>
      <c r="N39" s="232"/>
      <c r="O39" s="232"/>
      <c r="P39" s="232"/>
      <c r="Q39" s="230"/>
      <c r="R39" s="230"/>
      <c r="S39" s="230"/>
      <c r="T39" s="230"/>
      <c r="U39" s="230"/>
      <c r="V39" s="230"/>
      <c r="W39" s="230"/>
      <c r="X39" s="230"/>
      <c r="Y39" s="229"/>
      <c r="AA39" s="153"/>
    </row>
    <row r="40" spans="1:34" ht="12.95" customHeight="1">
      <c r="A40" s="190"/>
      <c r="B40" s="265"/>
      <c r="C40" s="229"/>
      <c r="D40" s="229"/>
      <c r="E40" s="247" t="s">
        <v>329</v>
      </c>
      <c r="F40" s="148" t="s">
        <v>330</v>
      </c>
      <c r="G40" s="132">
        <f>11.5*A34/1000</f>
        <v>3.0935000000000001</v>
      </c>
      <c r="H40" s="148" t="s">
        <v>331</v>
      </c>
      <c r="I40" s="133" t="s">
        <v>446</v>
      </c>
      <c r="J40" s="232"/>
      <c r="K40" s="232"/>
      <c r="L40" s="232"/>
      <c r="M40" s="232"/>
      <c r="N40" s="232"/>
      <c r="O40" s="232"/>
      <c r="P40" s="232"/>
      <c r="Q40" s="228"/>
      <c r="R40" s="228"/>
      <c r="S40" s="228"/>
      <c r="T40" s="228"/>
      <c r="U40" s="228"/>
      <c r="V40" s="228"/>
      <c r="W40" s="228"/>
      <c r="X40" s="228"/>
      <c r="Y40" s="229"/>
      <c r="AA40" s="153"/>
    </row>
    <row r="41" spans="1:34" ht="12.95" customHeight="1">
      <c r="A41" s="190"/>
      <c r="B41" s="265"/>
      <c r="C41" s="229"/>
      <c r="D41" s="229"/>
      <c r="E41" s="244"/>
      <c r="F41" s="149"/>
      <c r="G41" s="124"/>
      <c r="H41" s="149" t="s">
        <v>332</v>
      </c>
      <c r="I41" s="149" t="s">
        <v>333</v>
      </c>
      <c r="J41" s="232"/>
      <c r="K41" s="232"/>
      <c r="L41" s="232"/>
      <c r="M41" s="232"/>
      <c r="N41" s="232"/>
      <c r="O41" s="232"/>
      <c r="P41" s="232"/>
      <c r="Q41" s="229"/>
      <c r="R41" s="229"/>
      <c r="S41" s="229"/>
      <c r="T41" s="229"/>
      <c r="U41" s="229"/>
      <c r="V41" s="229"/>
      <c r="W41" s="229"/>
      <c r="X41" s="229"/>
      <c r="Y41" s="229"/>
      <c r="AA41" s="153"/>
    </row>
    <row r="42" spans="1:34" ht="12.95" customHeight="1">
      <c r="A42" s="190"/>
      <c r="B42" s="265"/>
      <c r="C42" s="229"/>
      <c r="D42" s="229"/>
      <c r="E42" s="245"/>
      <c r="F42" s="192" t="s">
        <v>432</v>
      </c>
      <c r="G42" s="206">
        <v>6</v>
      </c>
      <c r="H42" s="150"/>
      <c r="I42" s="150"/>
      <c r="J42" s="232"/>
      <c r="K42" s="232"/>
      <c r="L42" s="232"/>
      <c r="M42" s="232"/>
      <c r="N42" s="232"/>
      <c r="O42" s="232"/>
      <c r="P42" s="232"/>
      <c r="Q42" s="230"/>
      <c r="R42" s="230"/>
      <c r="S42" s="230"/>
      <c r="T42" s="230"/>
      <c r="U42" s="230"/>
      <c r="V42" s="230"/>
      <c r="W42" s="230"/>
      <c r="X42" s="230"/>
      <c r="Y42" s="229"/>
      <c r="AA42" s="153"/>
    </row>
    <row r="43" spans="1:34" ht="12.95" customHeight="1">
      <c r="A43" s="190"/>
      <c r="B43" s="265"/>
      <c r="C43" s="229"/>
      <c r="D43" s="229"/>
      <c r="E43" s="267" t="s">
        <v>352</v>
      </c>
      <c r="F43" s="156" t="s">
        <v>395</v>
      </c>
      <c r="G43" s="120" t="s">
        <v>396</v>
      </c>
      <c r="H43" s="101"/>
      <c r="I43" s="60"/>
      <c r="J43" s="232"/>
      <c r="K43" s="232"/>
      <c r="L43" s="232"/>
      <c r="M43" s="232"/>
      <c r="N43" s="232"/>
      <c r="O43" s="232"/>
      <c r="P43" s="232"/>
      <c r="Q43" s="228"/>
      <c r="R43" s="228"/>
      <c r="S43" s="228"/>
      <c r="T43" s="228"/>
      <c r="U43" s="228"/>
      <c r="V43" s="228"/>
      <c r="W43" s="228"/>
      <c r="X43" s="228"/>
      <c r="Y43" s="229"/>
      <c r="AA43" s="153"/>
    </row>
    <row r="44" spans="1:34" ht="12.95" customHeight="1">
      <c r="A44" s="190"/>
      <c r="B44" s="265"/>
      <c r="C44" s="229"/>
      <c r="D44" s="229"/>
      <c r="E44" s="271"/>
      <c r="F44" s="81"/>
      <c r="G44" s="81"/>
      <c r="H44" s="100"/>
      <c r="I44" s="61"/>
      <c r="J44" s="232"/>
      <c r="K44" s="232"/>
      <c r="L44" s="232"/>
      <c r="M44" s="232"/>
      <c r="N44" s="232"/>
      <c r="O44" s="232"/>
      <c r="P44" s="232"/>
      <c r="Q44" s="229"/>
      <c r="R44" s="229"/>
      <c r="S44" s="229"/>
      <c r="T44" s="229"/>
      <c r="U44" s="229"/>
      <c r="V44" s="229"/>
      <c r="W44" s="229"/>
      <c r="X44" s="229"/>
      <c r="Y44" s="229"/>
      <c r="AA44" s="153"/>
    </row>
    <row r="45" spans="1:34" ht="12.95" customHeight="1">
      <c r="A45" s="190"/>
      <c r="B45" s="266"/>
      <c r="C45" s="230"/>
      <c r="D45" s="230"/>
      <c r="E45" s="272"/>
      <c r="F45" s="147"/>
      <c r="G45" s="147"/>
      <c r="H45" s="102"/>
      <c r="I45" s="62"/>
      <c r="J45" s="233"/>
      <c r="K45" s="233"/>
      <c r="L45" s="233"/>
      <c r="M45" s="233"/>
      <c r="N45" s="233"/>
      <c r="O45" s="233"/>
      <c r="P45" s="233"/>
      <c r="Q45" s="230"/>
      <c r="R45" s="230"/>
      <c r="S45" s="230"/>
      <c r="T45" s="230"/>
      <c r="U45" s="230"/>
      <c r="V45" s="230"/>
      <c r="W45" s="230"/>
      <c r="X45" s="230"/>
      <c r="Y45" s="230"/>
      <c r="AA45" s="153"/>
    </row>
    <row r="46" spans="1:34" s="68" customFormat="1" ht="12.95" customHeight="1">
      <c r="A46" s="191"/>
      <c r="B46" s="258" t="s">
        <v>37</v>
      </c>
      <c r="C46" s="259"/>
      <c r="D46" s="260"/>
      <c r="E46" s="261" t="s">
        <v>117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3"/>
      <c r="AA46" s="153"/>
      <c r="AB46" s="153"/>
      <c r="AC46" s="153"/>
      <c r="AD46" s="153"/>
      <c r="AE46" s="153"/>
      <c r="AF46" s="153"/>
      <c r="AG46" s="153"/>
      <c r="AH46" s="153"/>
    </row>
    <row r="47" spans="1:34" ht="12.95" customHeight="1">
      <c r="A47" s="189">
        <v>269</v>
      </c>
      <c r="B47" s="264">
        <v>43825</v>
      </c>
      <c r="C47" s="228" t="s">
        <v>118</v>
      </c>
      <c r="D47" s="228" t="s">
        <v>367</v>
      </c>
      <c r="E47" s="267" t="s">
        <v>283</v>
      </c>
      <c r="F47" s="117" t="s">
        <v>237</v>
      </c>
      <c r="G47" s="117">
        <f>ROUND(56.8*A47/1000,0)</f>
        <v>15</v>
      </c>
      <c r="H47" s="116" t="s">
        <v>114</v>
      </c>
      <c r="I47" s="49">
        <f>ROUND(6.7*A47/1000,0)</f>
        <v>2</v>
      </c>
      <c r="J47" s="231">
        <v>5.8</v>
      </c>
      <c r="K47" s="231">
        <v>2.2999999999999998</v>
      </c>
      <c r="L47" s="231">
        <v>0</v>
      </c>
      <c r="M47" s="231">
        <v>1.6</v>
      </c>
      <c r="N47" s="231">
        <v>0</v>
      </c>
      <c r="O47" s="231">
        <v>3.1</v>
      </c>
      <c r="P47" s="231">
        <f>SUM(J47*70+166.5+L47*120+M47*25+N47*60+O47*45)</f>
        <v>752</v>
      </c>
      <c r="Q47" s="228"/>
      <c r="R47" s="228"/>
      <c r="S47" s="228"/>
      <c r="T47" s="228"/>
      <c r="U47" s="228"/>
      <c r="V47" s="228"/>
      <c r="W47" s="228"/>
      <c r="X47" s="228"/>
      <c r="Y47" s="228"/>
      <c r="AA47" s="153"/>
    </row>
    <row r="48" spans="1:34" ht="12.95" customHeight="1">
      <c r="A48" s="190"/>
      <c r="B48" s="265"/>
      <c r="C48" s="229"/>
      <c r="D48" s="229"/>
      <c r="E48" s="244"/>
      <c r="F48" s="95" t="s">
        <v>238</v>
      </c>
      <c r="G48" s="66">
        <f>ROUND(5*A47/1000,0)</f>
        <v>1</v>
      </c>
      <c r="H48" s="80"/>
      <c r="I48" s="80"/>
      <c r="J48" s="232"/>
      <c r="K48" s="232"/>
      <c r="L48" s="232"/>
      <c r="M48" s="232"/>
      <c r="N48" s="232"/>
      <c r="O48" s="232"/>
      <c r="P48" s="232"/>
      <c r="Q48" s="229"/>
      <c r="R48" s="229"/>
      <c r="S48" s="229"/>
      <c r="T48" s="229"/>
      <c r="U48" s="229"/>
      <c r="V48" s="229"/>
      <c r="W48" s="229"/>
      <c r="X48" s="229"/>
      <c r="Y48" s="229"/>
      <c r="AA48" s="153"/>
    </row>
    <row r="49" spans="1:34" ht="12.95" customHeight="1">
      <c r="A49" s="190"/>
      <c r="B49" s="265"/>
      <c r="C49" s="229"/>
      <c r="D49" s="229"/>
      <c r="E49" s="245"/>
      <c r="F49" s="111" t="s">
        <v>49</v>
      </c>
      <c r="G49" s="86">
        <f>ROUND(26.8*A47/1000,0)</f>
        <v>7</v>
      </c>
      <c r="H49" s="113"/>
      <c r="I49" s="79"/>
      <c r="J49" s="232"/>
      <c r="K49" s="232"/>
      <c r="L49" s="232"/>
      <c r="M49" s="232"/>
      <c r="N49" s="232"/>
      <c r="O49" s="232"/>
      <c r="P49" s="232"/>
      <c r="Q49" s="230"/>
      <c r="R49" s="230"/>
      <c r="S49" s="230"/>
      <c r="T49" s="230"/>
      <c r="U49" s="230"/>
      <c r="V49" s="230"/>
      <c r="W49" s="230"/>
      <c r="X49" s="230"/>
      <c r="Y49" s="229"/>
      <c r="AA49" s="153"/>
    </row>
    <row r="50" spans="1:34" ht="12.95" customHeight="1">
      <c r="A50" s="190"/>
      <c r="B50" s="265"/>
      <c r="C50" s="229"/>
      <c r="D50" s="229"/>
      <c r="E50" s="267" t="s">
        <v>284</v>
      </c>
      <c r="F50" s="146" t="s">
        <v>66</v>
      </c>
      <c r="G50" s="117">
        <f>ROUND(75*A47/1000,0)</f>
        <v>20</v>
      </c>
      <c r="H50" s="146"/>
      <c r="I50" s="49"/>
      <c r="J50" s="232"/>
      <c r="K50" s="232"/>
      <c r="L50" s="232"/>
      <c r="M50" s="232"/>
      <c r="N50" s="232"/>
      <c r="O50" s="232"/>
      <c r="P50" s="232"/>
      <c r="Q50" s="228"/>
      <c r="R50" s="228"/>
      <c r="S50" s="228"/>
      <c r="T50" s="228"/>
      <c r="U50" s="228"/>
      <c r="V50" s="228"/>
      <c r="W50" s="228"/>
      <c r="X50" s="228"/>
      <c r="Y50" s="229"/>
      <c r="AA50" s="153"/>
    </row>
    <row r="51" spans="1:34" ht="12.95" customHeight="1">
      <c r="A51" s="190"/>
      <c r="B51" s="265"/>
      <c r="C51" s="229"/>
      <c r="D51" s="229"/>
      <c r="E51" s="244"/>
      <c r="F51" s="146" t="s">
        <v>239</v>
      </c>
      <c r="G51" s="146" t="s">
        <v>408</v>
      </c>
      <c r="H51" s="146"/>
      <c r="I51" s="146"/>
      <c r="J51" s="232"/>
      <c r="K51" s="232"/>
      <c r="L51" s="232"/>
      <c r="M51" s="232"/>
      <c r="N51" s="232"/>
      <c r="O51" s="232"/>
      <c r="P51" s="232"/>
      <c r="Q51" s="229"/>
      <c r="R51" s="229"/>
      <c r="S51" s="229"/>
      <c r="T51" s="229"/>
      <c r="U51" s="229"/>
      <c r="V51" s="229"/>
      <c r="W51" s="229"/>
      <c r="X51" s="229"/>
      <c r="Y51" s="229"/>
      <c r="AA51" s="153"/>
    </row>
    <row r="52" spans="1:34" ht="12.95" customHeight="1">
      <c r="A52" s="190"/>
      <c r="B52" s="265"/>
      <c r="C52" s="229"/>
      <c r="D52" s="229"/>
      <c r="E52" s="245"/>
      <c r="F52" s="146"/>
      <c r="G52" s="147"/>
      <c r="H52" s="147"/>
      <c r="I52" s="147"/>
      <c r="J52" s="232"/>
      <c r="K52" s="232"/>
      <c r="L52" s="232"/>
      <c r="M52" s="232"/>
      <c r="N52" s="232"/>
      <c r="O52" s="232"/>
      <c r="P52" s="232"/>
      <c r="Q52" s="230"/>
      <c r="R52" s="230"/>
      <c r="S52" s="230"/>
      <c r="T52" s="230"/>
      <c r="U52" s="230"/>
      <c r="V52" s="230"/>
      <c r="W52" s="230"/>
      <c r="X52" s="230"/>
      <c r="Y52" s="229"/>
      <c r="AA52" s="153"/>
    </row>
    <row r="53" spans="1:34" ht="12.95" customHeight="1">
      <c r="A53" s="190"/>
      <c r="B53" s="265"/>
      <c r="C53" s="229"/>
      <c r="D53" s="229"/>
      <c r="E53" s="247" t="s">
        <v>178</v>
      </c>
      <c r="F53" s="145" t="s">
        <v>341</v>
      </c>
      <c r="G53" s="49">
        <v>21.52</v>
      </c>
      <c r="H53" s="117"/>
      <c r="I53" s="117"/>
      <c r="J53" s="232"/>
      <c r="K53" s="232"/>
      <c r="L53" s="232"/>
      <c r="M53" s="232"/>
      <c r="N53" s="232"/>
      <c r="O53" s="232"/>
      <c r="P53" s="232"/>
      <c r="Q53" s="228"/>
      <c r="R53" s="228"/>
      <c r="S53" s="228"/>
      <c r="T53" s="228"/>
      <c r="U53" s="228"/>
      <c r="V53" s="228"/>
      <c r="W53" s="228"/>
      <c r="X53" s="228"/>
      <c r="Y53" s="229"/>
      <c r="AA53" s="153"/>
    </row>
    <row r="54" spans="1:34" ht="12.95" customHeight="1">
      <c r="A54" s="190"/>
      <c r="B54" s="265"/>
      <c r="C54" s="229"/>
      <c r="D54" s="229"/>
      <c r="E54" s="244"/>
      <c r="F54" s="156" t="s">
        <v>342</v>
      </c>
      <c r="G54" s="156" t="s">
        <v>343</v>
      </c>
      <c r="H54" s="146"/>
      <c r="I54" s="146"/>
      <c r="J54" s="232"/>
      <c r="K54" s="232"/>
      <c r="L54" s="232"/>
      <c r="M54" s="232"/>
      <c r="N54" s="232"/>
      <c r="O54" s="232"/>
      <c r="P54" s="232"/>
      <c r="Q54" s="229"/>
      <c r="R54" s="229"/>
      <c r="S54" s="229"/>
      <c r="T54" s="229"/>
      <c r="U54" s="229"/>
      <c r="V54" s="229"/>
      <c r="W54" s="229"/>
      <c r="X54" s="229"/>
      <c r="Y54" s="229"/>
      <c r="AA54" s="153"/>
    </row>
    <row r="55" spans="1:34" ht="12.95" customHeight="1">
      <c r="A55" s="190"/>
      <c r="B55" s="265"/>
      <c r="C55" s="229"/>
      <c r="D55" s="229"/>
      <c r="E55" s="245"/>
      <c r="F55" s="147"/>
      <c r="G55" s="147"/>
      <c r="H55" s="147"/>
      <c r="I55" s="147"/>
      <c r="J55" s="232"/>
      <c r="K55" s="232"/>
      <c r="L55" s="232"/>
      <c r="M55" s="232"/>
      <c r="N55" s="232"/>
      <c r="O55" s="232"/>
      <c r="P55" s="232"/>
      <c r="Q55" s="230"/>
      <c r="R55" s="230"/>
      <c r="S55" s="230"/>
      <c r="T55" s="230"/>
      <c r="U55" s="230"/>
      <c r="V55" s="230"/>
      <c r="W55" s="230"/>
      <c r="X55" s="230"/>
      <c r="Y55" s="229"/>
      <c r="AA55" s="153"/>
    </row>
    <row r="56" spans="1:34" ht="12.95" customHeight="1">
      <c r="A56" s="190"/>
      <c r="B56" s="265"/>
      <c r="C56" s="229"/>
      <c r="D56" s="229"/>
      <c r="E56" s="304" t="s">
        <v>434</v>
      </c>
      <c r="F56" s="197" t="s">
        <v>433</v>
      </c>
      <c r="G56" s="204">
        <v>10</v>
      </c>
      <c r="H56" s="117"/>
      <c r="I56" s="117"/>
      <c r="J56" s="232"/>
      <c r="K56" s="232"/>
      <c r="L56" s="232"/>
      <c r="M56" s="232"/>
      <c r="N56" s="232"/>
      <c r="O56" s="232"/>
      <c r="P56" s="232"/>
      <c r="Q56" s="228"/>
      <c r="R56" s="228"/>
      <c r="S56" s="228"/>
      <c r="T56" s="228"/>
      <c r="U56" s="228"/>
      <c r="V56" s="228"/>
      <c r="W56" s="228"/>
      <c r="X56" s="228"/>
      <c r="Y56" s="229"/>
      <c r="AA56" s="153"/>
    </row>
    <row r="57" spans="1:34" ht="12.95" customHeight="1">
      <c r="A57" s="190"/>
      <c r="B57" s="265"/>
      <c r="C57" s="229"/>
      <c r="D57" s="229"/>
      <c r="E57" s="305"/>
      <c r="F57" s="196" t="s">
        <v>347</v>
      </c>
      <c r="G57" s="204">
        <v>0.1</v>
      </c>
      <c r="H57" s="146"/>
      <c r="I57" s="78"/>
      <c r="J57" s="232"/>
      <c r="K57" s="232"/>
      <c r="L57" s="232"/>
      <c r="M57" s="232"/>
      <c r="N57" s="232"/>
      <c r="O57" s="232"/>
      <c r="P57" s="232"/>
      <c r="Q57" s="229"/>
      <c r="R57" s="229"/>
      <c r="S57" s="229"/>
      <c r="T57" s="229"/>
      <c r="U57" s="229"/>
      <c r="V57" s="229"/>
      <c r="W57" s="229"/>
      <c r="X57" s="229"/>
      <c r="Y57" s="229"/>
      <c r="AA57" s="153"/>
    </row>
    <row r="58" spans="1:34" ht="12.95" customHeight="1">
      <c r="A58" s="190"/>
      <c r="B58" s="266"/>
      <c r="C58" s="230"/>
      <c r="D58" s="229"/>
      <c r="E58" s="306"/>
      <c r="F58" s="102"/>
      <c r="G58" s="147"/>
      <c r="H58" s="147"/>
      <c r="I58" s="48"/>
      <c r="J58" s="233"/>
      <c r="K58" s="233"/>
      <c r="L58" s="233"/>
      <c r="M58" s="233"/>
      <c r="N58" s="233"/>
      <c r="O58" s="233"/>
      <c r="P58" s="233"/>
      <c r="Q58" s="230"/>
      <c r="R58" s="230"/>
      <c r="S58" s="230"/>
      <c r="T58" s="230"/>
      <c r="U58" s="230"/>
      <c r="V58" s="230"/>
      <c r="W58" s="230"/>
      <c r="X58" s="230"/>
      <c r="Y58" s="230"/>
      <c r="AA58" s="153"/>
    </row>
    <row r="59" spans="1:34" s="68" customFormat="1" ht="12.95" customHeight="1">
      <c r="A59" s="191"/>
      <c r="B59" s="258" t="s">
        <v>122</v>
      </c>
      <c r="C59" s="259"/>
      <c r="D59" s="260"/>
      <c r="E59" s="279" t="s">
        <v>251</v>
      </c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3"/>
      <c r="AA59" s="153"/>
      <c r="AB59" s="153"/>
      <c r="AC59" s="153"/>
      <c r="AD59" s="153"/>
      <c r="AE59" s="153"/>
      <c r="AF59" s="153"/>
      <c r="AG59" s="153"/>
      <c r="AH59" s="153"/>
    </row>
    <row r="60" spans="1:34" ht="12.95" customHeight="1">
      <c r="A60" s="189">
        <v>269</v>
      </c>
      <c r="B60" s="264">
        <v>43826</v>
      </c>
      <c r="C60" s="235" t="s">
        <v>40</v>
      </c>
      <c r="D60" s="273" t="s">
        <v>369</v>
      </c>
      <c r="E60" s="267" t="s">
        <v>345</v>
      </c>
      <c r="F60" s="117" t="s">
        <v>346</v>
      </c>
      <c r="G60" s="138">
        <f>67*A60/1000</f>
        <v>18.023</v>
      </c>
      <c r="H60" s="156" t="s">
        <v>347</v>
      </c>
      <c r="I60" s="146">
        <f>ROUND(1.5*A60/1000,1)</f>
        <v>0.4</v>
      </c>
      <c r="J60" s="231">
        <v>5.5</v>
      </c>
      <c r="K60" s="231">
        <v>2.9</v>
      </c>
      <c r="L60" s="231">
        <v>0</v>
      </c>
      <c r="M60" s="231">
        <v>1.5</v>
      </c>
      <c r="N60" s="231">
        <v>0</v>
      </c>
      <c r="O60" s="231">
        <v>2.5</v>
      </c>
      <c r="P60" s="231">
        <f>SUM(J60*70+K60*75+L60*120+M60*25+N60*60+O60*45)</f>
        <v>752.5</v>
      </c>
      <c r="Q60" s="228"/>
      <c r="R60" s="228"/>
      <c r="S60" s="228"/>
      <c r="T60" s="228"/>
      <c r="U60" s="228"/>
      <c r="V60" s="228"/>
      <c r="W60" s="228"/>
      <c r="X60" s="228"/>
      <c r="Y60" s="268"/>
      <c r="AA60" s="153"/>
    </row>
    <row r="61" spans="1:34" ht="12.95" customHeight="1">
      <c r="A61" s="190"/>
      <c r="B61" s="265"/>
      <c r="C61" s="236"/>
      <c r="D61" s="274"/>
      <c r="E61" s="322"/>
      <c r="F61" s="139" t="s">
        <v>348</v>
      </c>
      <c r="G61" s="140">
        <f>ROUND(36*A60/1000,0)</f>
        <v>10</v>
      </c>
      <c r="H61" s="156" t="s">
        <v>349</v>
      </c>
      <c r="I61" s="156" t="s">
        <v>350</v>
      </c>
      <c r="J61" s="232"/>
      <c r="K61" s="232"/>
      <c r="L61" s="232"/>
      <c r="M61" s="232"/>
      <c r="N61" s="232"/>
      <c r="O61" s="232"/>
      <c r="P61" s="232"/>
      <c r="Q61" s="229"/>
      <c r="R61" s="229"/>
      <c r="S61" s="229"/>
      <c r="T61" s="229"/>
      <c r="U61" s="229"/>
      <c r="V61" s="229"/>
      <c r="W61" s="229"/>
      <c r="X61" s="229"/>
      <c r="Y61" s="269"/>
      <c r="AA61" s="153"/>
    </row>
    <row r="62" spans="1:34" ht="12.95" customHeight="1">
      <c r="A62" s="190"/>
      <c r="B62" s="265"/>
      <c r="C62" s="236"/>
      <c r="D62" s="274"/>
      <c r="E62" s="323"/>
      <c r="F62" s="147" t="s">
        <v>351</v>
      </c>
      <c r="G62" s="89">
        <f>ROUND(1.5*A60/1000,1)</f>
        <v>0.4</v>
      </c>
      <c r="H62" s="141"/>
      <c r="I62" s="142"/>
      <c r="J62" s="232"/>
      <c r="K62" s="232"/>
      <c r="L62" s="232"/>
      <c r="M62" s="232"/>
      <c r="N62" s="232"/>
      <c r="O62" s="232"/>
      <c r="P62" s="232"/>
      <c r="Q62" s="230"/>
      <c r="R62" s="230"/>
      <c r="S62" s="230"/>
      <c r="T62" s="230"/>
      <c r="U62" s="230"/>
      <c r="V62" s="230"/>
      <c r="W62" s="230"/>
      <c r="X62" s="230"/>
      <c r="Y62" s="269"/>
      <c r="AA62" s="153"/>
    </row>
    <row r="63" spans="1:34" ht="12.95" customHeight="1">
      <c r="A63" s="190"/>
      <c r="B63" s="265"/>
      <c r="C63" s="236"/>
      <c r="D63" s="274"/>
      <c r="E63" s="267" t="s">
        <v>409</v>
      </c>
      <c r="F63" s="90" t="s">
        <v>221</v>
      </c>
      <c r="G63" s="50">
        <f>ROUND(74*A60/1000,0)</f>
        <v>20</v>
      </c>
      <c r="H63" s="146"/>
      <c r="I63" s="83"/>
      <c r="J63" s="232"/>
      <c r="K63" s="232"/>
      <c r="L63" s="232"/>
      <c r="M63" s="232"/>
      <c r="N63" s="232"/>
      <c r="O63" s="232"/>
      <c r="P63" s="232"/>
      <c r="Q63" s="228"/>
      <c r="R63" s="228"/>
      <c r="S63" s="228"/>
      <c r="T63" s="228"/>
      <c r="U63" s="228"/>
      <c r="V63" s="228"/>
      <c r="W63" s="228"/>
      <c r="X63" s="228"/>
      <c r="Y63" s="269"/>
      <c r="AA63" s="153"/>
    </row>
    <row r="64" spans="1:34" ht="12.95" customHeight="1">
      <c r="A64" s="190"/>
      <c r="B64" s="265"/>
      <c r="C64" s="236"/>
      <c r="D64" s="274"/>
      <c r="E64" s="244"/>
      <c r="F64" s="59" t="s">
        <v>240</v>
      </c>
      <c r="G64" s="83">
        <f>ROUND(4.5*A60/1000,1)</f>
        <v>1.2</v>
      </c>
      <c r="H64" s="59"/>
      <c r="I64" s="50"/>
      <c r="J64" s="232"/>
      <c r="K64" s="232"/>
      <c r="L64" s="232"/>
      <c r="M64" s="232"/>
      <c r="N64" s="232"/>
      <c r="O64" s="232"/>
      <c r="P64" s="232"/>
      <c r="Q64" s="229"/>
      <c r="R64" s="229"/>
      <c r="S64" s="229"/>
      <c r="T64" s="229"/>
      <c r="U64" s="229"/>
      <c r="V64" s="229"/>
      <c r="W64" s="229"/>
      <c r="X64" s="229"/>
      <c r="Y64" s="269"/>
      <c r="AA64" s="153"/>
    </row>
    <row r="65" spans="1:34" ht="12.95" customHeight="1">
      <c r="A65" s="190"/>
      <c r="B65" s="265"/>
      <c r="C65" s="236"/>
      <c r="D65" s="274"/>
      <c r="E65" s="245"/>
      <c r="F65" s="207" t="s">
        <v>435</v>
      </c>
      <c r="G65" s="220">
        <v>1</v>
      </c>
      <c r="H65" s="154"/>
      <c r="I65" s="89"/>
      <c r="J65" s="232"/>
      <c r="K65" s="232"/>
      <c r="L65" s="232"/>
      <c r="M65" s="232"/>
      <c r="N65" s="232"/>
      <c r="O65" s="232"/>
      <c r="P65" s="232"/>
      <c r="Q65" s="230"/>
      <c r="R65" s="230"/>
      <c r="S65" s="230"/>
      <c r="T65" s="230"/>
      <c r="U65" s="230"/>
      <c r="V65" s="230"/>
      <c r="W65" s="230"/>
      <c r="X65" s="230"/>
      <c r="Y65" s="269"/>
      <c r="AA65" s="153"/>
    </row>
    <row r="66" spans="1:34" ht="12.95" customHeight="1">
      <c r="A66" s="190"/>
      <c r="B66" s="265"/>
      <c r="C66" s="236"/>
      <c r="D66" s="274"/>
      <c r="E66" s="247" t="s">
        <v>178</v>
      </c>
      <c r="F66" s="145" t="s">
        <v>341</v>
      </c>
      <c r="G66" s="49">
        <v>21.52</v>
      </c>
      <c r="H66" s="117"/>
      <c r="I66" s="117"/>
      <c r="J66" s="232"/>
      <c r="K66" s="232"/>
      <c r="L66" s="232"/>
      <c r="M66" s="232"/>
      <c r="N66" s="232"/>
      <c r="O66" s="232"/>
      <c r="P66" s="232"/>
      <c r="Q66" s="228"/>
      <c r="R66" s="228"/>
      <c r="S66" s="228"/>
      <c r="T66" s="228"/>
      <c r="U66" s="228"/>
      <c r="V66" s="228"/>
      <c r="W66" s="228"/>
      <c r="X66" s="228"/>
      <c r="Y66" s="269"/>
      <c r="AA66" s="153"/>
    </row>
    <row r="67" spans="1:34" ht="12.95" customHeight="1">
      <c r="A67" s="190"/>
      <c r="B67" s="265"/>
      <c r="C67" s="236"/>
      <c r="D67" s="274"/>
      <c r="E67" s="244"/>
      <c r="F67" s="156" t="s">
        <v>342</v>
      </c>
      <c r="G67" s="156" t="s">
        <v>343</v>
      </c>
      <c r="H67" s="146"/>
      <c r="I67" s="146"/>
      <c r="J67" s="232"/>
      <c r="K67" s="232"/>
      <c r="L67" s="232"/>
      <c r="M67" s="232"/>
      <c r="N67" s="232"/>
      <c r="O67" s="232"/>
      <c r="P67" s="232"/>
      <c r="Q67" s="229"/>
      <c r="R67" s="229"/>
      <c r="S67" s="229"/>
      <c r="T67" s="229"/>
      <c r="U67" s="229"/>
      <c r="V67" s="229"/>
      <c r="W67" s="229"/>
      <c r="X67" s="229"/>
      <c r="Y67" s="269"/>
      <c r="AA67" s="153"/>
    </row>
    <row r="68" spans="1:34" ht="12.95" customHeight="1">
      <c r="A68" s="190"/>
      <c r="B68" s="265"/>
      <c r="C68" s="236"/>
      <c r="D68" s="274"/>
      <c r="E68" s="245"/>
      <c r="F68" s="147"/>
      <c r="G68" s="147"/>
      <c r="H68" s="147"/>
      <c r="I68" s="147"/>
      <c r="J68" s="232"/>
      <c r="K68" s="232"/>
      <c r="L68" s="232"/>
      <c r="M68" s="232"/>
      <c r="N68" s="232"/>
      <c r="O68" s="232"/>
      <c r="P68" s="232"/>
      <c r="Q68" s="230"/>
      <c r="R68" s="230"/>
      <c r="S68" s="230"/>
      <c r="T68" s="230"/>
      <c r="U68" s="230"/>
      <c r="V68" s="230"/>
      <c r="W68" s="230"/>
      <c r="X68" s="230"/>
      <c r="Y68" s="269"/>
      <c r="AA68" s="153"/>
    </row>
    <row r="69" spans="1:34" ht="12.95" customHeight="1">
      <c r="A69" s="190"/>
      <c r="B69" s="265"/>
      <c r="C69" s="236"/>
      <c r="D69" s="274"/>
      <c r="E69" s="255" t="s">
        <v>335</v>
      </c>
      <c r="F69" s="134" t="s">
        <v>336</v>
      </c>
      <c r="G69" s="135">
        <f>ROUND(5*A60/1000,0)</f>
        <v>1</v>
      </c>
      <c r="H69" s="134" t="s">
        <v>334</v>
      </c>
      <c r="I69" s="184">
        <f>ROUND(17.8*A60/1000,1)</f>
        <v>4.8</v>
      </c>
      <c r="J69" s="232"/>
      <c r="K69" s="232"/>
      <c r="L69" s="232"/>
      <c r="M69" s="232"/>
      <c r="N69" s="232"/>
      <c r="O69" s="232"/>
      <c r="P69" s="232"/>
      <c r="Q69" s="228"/>
      <c r="R69" s="228"/>
      <c r="S69" s="228"/>
      <c r="T69" s="228"/>
      <c r="U69" s="228"/>
      <c r="V69" s="228"/>
      <c r="W69" s="228"/>
      <c r="X69" s="228"/>
      <c r="Y69" s="269"/>
      <c r="AA69" s="153"/>
    </row>
    <row r="70" spans="1:34" ht="12.95" customHeight="1">
      <c r="A70" s="190"/>
      <c r="B70" s="265"/>
      <c r="C70" s="236"/>
      <c r="D70" s="274"/>
      <c r="E70" s="302"/>
      <c r="F70" s="128" t="s">
        <v>276</v>
      </c>
      <c r="G70" s="136">
        <f>ROUND(5*A60/1000,0)</f>
        <v>1</v>
      </c>
      <c r="H70" s="128"/>
      <c r="I70" s="128"/>
      <c r="J70" s="232"/>
      <c r="K70" s="232"/>
      <c r="L70" s="232"/>
      <c r="M70" s="232"/>
      <c r="N70" s="232"/>
      <c r="O70" s="232"/>
      <c r="P70" s="232"/>
      <c r="Q70" s="229"/>
      <c r="R70" s="229"/>
      <c r="S70" s="229"/>
      <c r="T70" s="229"/>
      <c r="U70" s="229"/>
      <c r="V70" s="229"/>
      <c r="W70" s="229"/>
      <c r="X70" s="229"/>
      <c r="Y70" s="269"/>
      <c r="AA70" s="153"/>
    </row>
    <row r="71" spans="1:34" ht="12.95" customHeight="1">
      <c r="A71" s="190"/>
      <c r="B71" s="266"/>
      <c r="C71" s="237"/>
      <c r="D71" s="275"/>
      <c r="E71" s="303"/>
      <c r="F71" s="127" t="s">
        <v>337</v>
      </c>
      <c r="G71" s="137">
        <f>ROUND(18.5*A60/1000,1)</f>
        <v>5</v>
      </c>
      <c r="H71" s="127"/>
      <c r="I71" s="127"/>
      <c r="J71" s="233"/>
      <c r="K71" s="233"/>
      <c r="L71" s="233"/>
      <c r="M71" s="233"/>
      <c r="N71" s="233"/>
      <c r="O71" s="233"/>
      <c r="P71" s="233"/>
      <c r="Q71" s="230"/>
      <c r="R71" s="230"/>
      <c r="S71" s="230"/>
      <c r="T71" s="230"/>
      <c r="U71" s="230"/>
      <c r="V71" s="230"/>
      <c r="W71" s="230"/>
      <c r="X71" s="230"/>
      <c r="Y71" s="270"/>
      <c r="AA71" s="153"/>
    </row>
    <row r="72" spans="1:34" s="68" customFormat="1" ht="12.95" customHeight="1">
      <c r="A72" s="191"/>
      <c r="B72" s="276" t="s">
        <v>122</v>
      </c>
      <c r="C72" s="277"/>
      <c r="D72" s="278"/>
      <c r="E72" s="279" t="s">
        <v>247</v>
      </c>
      <c r="F72" s="262"/>
      <c r="G72" s="262"/>
      <c r="H72" s="262"/>
      <c r="I72" s="262"/>
      <c r="J72" s="280"/>
      <c r="K72" s="280"/>
      <c r="L72" s="280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3"/>
      <c r="AA72" s="153"/>
      <c r="AB72" s="153"/>
      <c r="AC72" s="153"/>
      <c r="AD72" s="153"/>
      <c r="AE72" s="153"/>
      <c r="AF72" s="153"/>
      <c r="AG72" s="153"/>
      <c r="AH72" s="153"/>
    </row>
    <row r="73" spans="1:34" ht="12.95" customHeight="1">
      <c r="B73" s="281" t="s">
        <v>130</v>
      </c>
      <c r="C73" s="282"/>
      <c r="D73" s="282"/>
      <c r="E73" s="283"/>
      <c r="F73" s="290" t="s">
        <v>131</v>
      </c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2"/>
      <c r="AA73" s="153"/>
    </row>
    <row r="74" spans="1:34" ht="12.95" customHeight="1">
      <c r="B74" s="284"/>
      <c r="C74" s="285"/>
      <c r="D74" s="285"/>
      <c r="E74" s="286"/>
      <c r="F74" s="293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5"/>
      <c r="AA74" s="153"/>
    </row>
    <row r="75" spans="1:34" ht="12.95" customHeight="1">
      <c r="B75" s="284"/>
      <c r="C75" s="285"/>
      <c r="D75" s="285"/>
      <c r="E75" s="286"/>
      <c r="F75" s="293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5"/>
      <c r="AA75" s="153"/>
    </row>
    <row r="76" spans="1:34" ht="12.95" customHeight="1">
      <c r="B76" s="287"/>
      <c r="C76" s="288"/>
      <c r="D76" s="288"/>
      <c r="E76" s="289"/>
      <c r="F76" s="296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8"/>
      <c r="AA76" s="153"/>
    </row>
    <row r="77" spans="1:34" ht="14.45" customHeight="1">
      <c r="A77" s="153"/>
      <c r="B77" s="299" t="s">
        <v>132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AA77" s="153"/>
    </row>
    <row r="78" spans="1:34" ht="19.5" customHeight="1">
      <c r="B78" s="300" t="s">
        <v>133</v>
      </c>
      <c r="C78" s="300"/>
      <c r="D78" s="300"/>
      <c r="E78" s="300"/>
      <c r="H78" s="300" t="s">
        <v>38</v>
      </c>
      <c r="I78" s="300"/>
      <c r="J78" s="300"/>
      <c r="K78" s="67"/>
      <c r="L78" s="67"/>
      <c r="M78" s="67"/>
      <c r="N78" s="301"/>
      <c r="O78" s="301"/>
      <c r="P78" s="144"/>
      <c r="Q78" s="144"/>
      <c r="R78" s="144"/>
      <c r="S78" s="301" t="s">
        <v>134</v>
      </c>
      <c r="T78" s="301"/>
      <c r="U78" s="57"/>
      <c r="V78" s="57"/>
      <c r="W78" s="57"/>
      <c r="X78" s="57"/>
      <c r="Y78" s="57"/>
      <c r="AA78" s="107"/>
      <c r="AB78" s="114"/>
    </row>
    <row r="79" spans="1:34">
      <c r="AA79" s="153"/>
    </row>
    <row r="80" spans="1:34">
      <c r="AA80" s="153"/>
    </row>
    <row r="81" spans="27:27">
      <c r="AA81" s="153"/>
    </row>
  </sheetData>
  <protectedRanges>
    <protectedRange password="C60F" sqref="P77:S77" name="範圍1_1"/>
  </protectedRanges>
  <mergeCells count="285">
    <mergeCell ref="B78:E78"/>
    <mergeCell ref="H78:J78"/>
    <mergeCell ref="N78:O78"/>
    <mergeCell ref="S78:T78"/>
    <mergeCell ref="E69:E71"/>
    <mergeCell ref="Q69:Q71"/>
    <mergeCell ref="R69:R71"/>
    <mergeCell ref="S69:S71"/>
    <mergeCell ref="T69:T71"/>
    <mergeCell ref="O60:O71"/>
    <mergeCell ref="P60:P71"/>
    <mergeCell ref="Q60:Q62"/>
    <mergeCell ref="R60:R62"/>
    <mergeCell ref="E63:E65"/>
    <mergeCell ref="Q63:Q65"/>
    <mergeCell ref="R63:R65"/>
    <mergeCell ref="S63:S65"/>
    <mergeCell ref="T63:T65"/>
    <mergeCell ref="Y60:Y71"/>
    <mergeCell ref="X69:X71"/>
    <mergeCell ref="X66:X68"/>
    <mergeCell ref="B72:D72"/>
    <mergeCell ref="E72:Y72"/>
    <mergeCell ref="B73:E76"/>
    <mergeCell ref="F73:Y76"/>
    <mergeCell ref="B77:Y77"/>
    <mergeCell ref="E30:E32"/>
    <mergeCell ref="S60:S62"/>
    <mergeCell ref="T60:T62"/>
    <mergeCell ref="U60:U62"/>
    <mergeCell ref="V60:V62"/>
    <mergeCell ref="W60:W62"/>
    <mergeCell ref="U63:U65"/>
    <mergeCell ref="V63:V65"/>
    <mergeCell ref="W63:W65"/>
    <mergeCell ref="X63:X65"/>
    <mergeCell ref="X60:X62"/>
    <mergeCell ref="Q66:Q68"/>
    <mergeCell ref="R66:R68"/>
    <mergeCell ref="S66:S68"/>
    <mergeCell ref="T66:T68"/>
    <mergeCell ref="U66:U68"/>
    <mergeCell ref="U69:U71"/>
    <mergeCell ref="V69:V71"/>
    <mergeCell ref="W69:W71"/>
    <mergeCell ref="V66:V68"/>
    <mergeCell ref="W66:W68"/>
    <mergeCell ref="B60:B71"/>
    <mergeCell ref="C60:C71"/>
    <mergeCell ref="D60:D71"/>
    <mergeCell ref="E60:E62"/>
    <mergeCell ref="J60:J71"/>
    <mergeCell ref="K60:K71"/>
    <mergeCell ref="L60:L71"/>
    <mergeCell ref="M60:M71"/>
    <mergeCell ref="N60:N71"/>
    <mergeCell ref="E66:E68"/>
    <mergeCell ref="T53:T55"/>
    <mergeCell ref="U53:U55"/>
    <mergeCell ref="V53:V55"/>
    <mergeCell ref="W53:W55"/>
    <mergeCell ref="X53:X55"/>
    <mergeCell ref="V56:V58"/>
    <mergeCell ref="W56:W58"/>
    <mergeCell ref="X56:X58"/>
    <mergeCell ref="B59:D59"/>
    <mergeCell ref="E59:Y59"/>
    <mergeCell ref="T56:T58"/>
    <mergeCell ref="U56:U58"/>
    <mergeCell ref="E56:E58"/>
    <mergeCell ref="Q56:Q58"/>
    <mergeCell ref="R56:R58"/>
    <mergeCell ref="S56:S58"/>
    <mergeCell ref="E50:E52"/>
    <mergeCell ref="Q50:Q52"/>
    <mergeCell ref="R50:R52"/>
    <mergeCell ref="S50:S52"/>
    <mergeCell ref="T50:T52"/>
    <mergeCell ref="U50:U52"/>
    <mergeCell ref="V50:V52"/>
    <mergeCell ref="W50:W52"/>
    <mergeCell ref="R47:R49"/>
    <mergeCell ref="S47:S49"/>
    <mergeCell ref="T47:T49"/>
    <mergeCell ref="U47:U49"/>
    <mergeCell ref="V47:V49"/>
    <mergeCell ref="W47:W49"/>
    <mergeCell ref="L47:L58"/>
    <mergeCell ref="M47:M58"/>
    <mergeCell ref="N47:N58"/>
    <mergeCell ref="O47:O58"/>
    <mergeCell ref="P47:P58"/>
    <mergeCell ref="Q47:Q49"/>
    <mergeCell ref="E53:E55"/>
    <mergeCell ref="Q53:Q55"/>
    <mergeCell ref="R53:R55"/>
    <mergeCell ref="S53:S55"/>
    <mergeCell ref="W43:W45"/>
    <mergeCell ref="X43:X45"/>
    <mergeCell ref="B46:D46"/>
    <mergeCell ref="E46:Y46"/>
    <mergeCell ref="B47:B58"/>
    <mergeCell ref="C47:C58"/>
    <mergeCell ref="D47:D58"/>
    <mergeCell ref="E47:E49"/>
    <mergeCell ref="J47:J58"/>
    <mergeCell ref="K47:K58"/>
    <mergeCell ref="Y34:Y45"/>
    <mergeCell ref="E37:E39"/>
    <mergeCell ref="Q37:Q39"/>
    <mergeCell ref="R37:R39"/>
    <mergeCell ref="S37:S39"/>
    <mergeCell ref="T37:T39"/>
    <mergeCell ref="U37:U39"/>
    <mergeCell ref="V37:V39"/>
    <mergeCell ref="W37:W39"/>
    <mergeCell ref="X37:X39"/>
    <mergeCell ref="S34:S36"/>
    <mergeCell ref="T34:T36"/>
    <mergeCell ref="U34:U36"/>
    <mergeCell ref="V34:V36"/>
    <mergeCell ref="T43:T45"/>
    <mergeCell ref="U43:U45"/>
    <mergeCell ref="V43:V45"/>
    <mergeCell ref="E40:E42"/>
    <mergeCell ref="Q40:Q42"/>
    <mergeCell ref="R40:R42"/>
    <mergeCell ref="S40:S42"/>
    <mergeCell ref="T40:T42"/>
    <mergeCell ref="U40:U42"/>
    <mergeCell ref="B33:D33"/>
    <mergeCell ref="E33:Y33"/>
    <mergeCell ref="B34:B45"/>
    <mergeCell ref="C34:C45"/>
    <mergeCell ref="D34:D45"/>
    <mergeCell ref="E34:E36"/>
    <mergeCell ref="J34:J45"/>
    <mergeCell ref="K34:K45"/>
    <mergeCell ref="L34:L45"/>
    <mergeCell ref="W34:W36"/>
    <mergeCell ref="X34:X36"/>
    <mergeCell ref="M34:M45"/>
    <mergeCell ref="N34:N45"/>
    <mergeCell ref="O34:O45"/>
    <mergeCell ref="P34:P45"/>
    <mergeCell ref="Q34:Q36"/>
    <mergeCell ref="R34:R36"/>
    <mergeCell ref="V40:V42"/>
    <mergeCell ref="W40:W42"/>
    <mergeCell ref="X40:X42"/>
    <mergeCell ref="E43:E45"/>
    <mergeCell ref="Q43:Q45"/>
    <mergeCell ref="R43:R45"/>
    <mergeCell ref="S43:S45"/>
    <mergeCell ref="V30:V32"/>
    <mergeCell ref="W30:W32"/>
    <mergeCell ref="X30:X32"/>
    <mergeCell ref="E27:E29"/>
    <mergeCell ref="Q27:Q29"/>
    <mergeCell ref="S27:S29"/>
    <mergeCell ref="T27:T29"/>
    <mergeCell ref="U27:U29"/>
    <mergeCell ref="V27:V29"/>
    <mergeCell ref="W27:W29"/>
    <mergeCell ref="X27:X29"/>
    <mergeCell ref="R27:R29"/>
    <mergeCell ref="E24:E26"/>
    <mergeCell ref="W24:W26"/>
    <mergeCell ref="Q24:Q26"/>
    <mergeCell ref="R24:R26"/>
    <mergeCell ref="S24:S26"/>
    <mergeCell ref="T24:T26"/>
    <mergeCell ref="U24:U26"/>
    <mergeCell ref="R21:R23"/>
    <mergeCell ref="S21:S23"/>
    <mergeCell ref="T21:T23"/>
    <mergeCell ref="U21:U23"/>
    <mergeCell ref="V21:V23"/>
    <mergeCell ref="K21:K32"/>
    <mergeCell ref="L21:L32"/>
    <mergeCell ref="M21:M32"/>
    <mergeCell ref="N21:N32"/>
    <mergeCell ref="O21:O32"/>
    <mergeCell ref="P21:P32"/>
    <mergeCell ref="V24:V26"/>
    <mergeCell ref="Q30:Q32"/>
    <mergeCell ref="R30:R32"/>
    <mergeCell ref="S30:S32"/>
    <mergeCell ref="T30:T32"/>
    <mergeCell ref="U30:U32"/>
    <mergeCell ref="B20:D20"/>
    <mergeCell ref="E20:Y20"/>
    <mergeCell ref="B21:B32"/>
    <mergeCell ref="C21:C32"/>
    <mergeCell ref="D21:D32"/>
    <mergeCell ref="E21:E23"/>
    <mergeCell ref="J21:J32"/>
    <mergeCell ref="E17:E19"/>
    <mergeCell ref="Q17:Q19"/>
    <mergeCell ref="R17:R19"/>
    <mergeCell ref="S17:S19"/>
    <mergeCell ref="T17:T19"/>
    <mergeCell ref="U17:U19"/>
    <mergeCell ref="B8:B19"/>
    <mergeCell ref="C8:C19"/>
    <mergeCell ref="D8:D19"/>
    <mergeCell ref="E8:E10"/>
    <mergeCell ref="J8:J19"/>
    <mergeCell ref="K8:K19"/>
    <mergeCell ref="L8:L19"/>
    <mergeCell ref="W21:W23"/>
    <mergeCell ref="X21:X23"/>
    <mergeCell ref="Y21:Y32"/>
    <mergeCell ref="Q21:Q23"/>
    <mergeCell ref="Q8:Q10"/>
    <mergeCell ref="R8:R10"/>
    <mergeCell ref="L5:L7"/>
    <mergeCell ref="Q14:Q16"/>
    <mergeCell ref="B3:B7"/>
    <mergeCell ref="C3:C7"/>
    <mergeCell ref="D3:D7"/>
    <mergeCell ref="E3:P3"/>
    <mergeCell ref="Q3:S3"/>
    <mergeCell ref="N5:N7"/>
    <mergeCell ref="O5:O7"/>
    <mergeCell ref="P5:P7"/>
    <mergeCell ref="S4:S7"/>
    <mergeCell ref="E4:E7"/>
    <mergeCell ref="F4:F7"/>
    <mergeCell ref="G4:G7"/>
    <mergeCell ref="H4:H7"/>
    <mergeCell ref="I4:I7"/>
    <mergeCell ref="E14:E16"/>
    <mergeCell ref="S14:S16"/>
    <mergeCell ref="P1:V1"/>
    <mergeCell ref="E2:G2"/>
    <mergeCell ref="H2:O2"/>
    <mergeCell ref="P2:U2"/>
    <mergeCell ref="V2:X2"/>
    <mergeCell ref="J4:P4"/>
    <mergeCell ref="Q4:Q7"/>
    <mergeCell ref="R4:R7"/>
    <mergeCell ref="J5:J7"/>
    <mergeCell ref="K5:K7"/>
    <mergeCell ref="T3:X3"/>
    <mergeCell ref="U4:U6"/>
    <mergeCell ref="V4:V6"/>
    <mergeCell ref="W4:W6"/>
    <mergeCell ref="X4:X6"/>
    <mergeCell ref="T4:T6"/>
    <mergeCell ref="M5:M7"/>
    <mergeCell ref="Y3:Y7"/>
    <mergeCell ref="X17:X19"/>
    <mergeCell ref="X24:X26"/>
    <mergeCell ref="X47:X49"/>
    <mergeCell ref="Y47:Y58"/>
    <mergeCell ref="X50:X52"/>
    <mergeCell ref="Y8:Y19"/>
    <mergeCell ref="X8:X10"/>
    <mergeCell ref="X11:X13"/>
    <mergeCell ref="X14:X16"/>
    <mergeCell ref="T14:T16"/>
    <mergeCell ref="U14:U16"/>
    <mergeCell ref="V14:V16"/>
    <mergeCell ref="W14:W16"/>
    <mergeCell ref="W8:W10"/>
    <mergeCell ref="E11:E13"/>
    <mergeCell ref="R14:R16"/>
    <mergeCell ref="M8:M19"/>
    <mergeCell ref="N8:N19"/>
    <mergeCell ref="Q11:Q13"/>
    <mergeCell ref="R11:R13"/>
    <mergeCell ref="W17:W19"/>
    <mergeCell ref="S11:S13"/>
    <mergeCell ref="T11:T13"/>
    <mergeCell ref="U11:U13"/>
    <mergeCell ref="V11:V13"/>
    <mergeCell ref="W11:W13"/>
    <mergeCell ref="S8:S10"/>
    <mergeCell ref="T8:T10"/>
    <mergeCell ref="U8:U10"/>
    <mergeCell ref="V8:V10"/>
    <mergeCell ref="V17:V19"/>
    <mergeCell ref="O8:O19"/>
    <mergeCell ref="P8:P19"/>
  </mergeCells>
  <phoneticPr fontId="3" type="noConversion"/>
  <printOptions horizontalCentered="1" verticalCentered="1"/>
  <pageMargins left="0.59055118110236227" right="0.39370078740157483" top="0.19685039370078741" bottom="0" header="0" footer="0"/>
  <pageSetup paperSize="8" scale="1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81"/>
  <sheetViews>
    <sheetView zoomScaleNormal="100" workbookViewId="0">
      <selection activeCell="K8" sqref="K8:K19"/>
    </sheetView>
  </sheetViews>
  <sheetFormatPr defaultColWidth="9" defaultRowHeight="16.5"/>
  <cols>
    <col min="1" max="1" width="5.375" style="119" customWidth="1"/>
    <col min="2" max="2" width="3.625" style="92" customWidth="1"/>
    <col min="3" max="4" width="3.625" style="153" customWidth="1"/>
    <col min="5" max="5" width="11.625" style="153" customWidth="1"/>
    <col min="6" max="6" width="6.5" style="153" customWidth="1"/>
    <col min="7" max="7" width="5.625" style="153" customWidth="1"/>
    <col min="8" max="8" width="6.25" style="153" customWidth="1"/>
    <col min="9" max="9" width="3.625" style="153" customWidth="1"/>
    <col min="10" max="10" width="4" style="153" customWidth="1"/>
    <col min="11" max="11" width="3.625" style="153" customWidth="1"/>
    <col min="12" max="12" width="4" style="153" customWidth="1"/>
    <col min="13" max="13" width="3.875" style="153" customWidth="1"/>
    <col min="14" max="14" width="4.5" style="153" customWidth="1"/>
    <col min="15" max="21" width="3.875" style="153" customWidth="1"/>
    <col min="22" max="22" width="4.5" style="153" customWidth="1"/>
    <col min="23" max="25" width="3.875" style="153" customWidth="1"/>
    <col min="26" max="26" width="2.5" style="153" customWidth="1"/>
    <col min="27" max="27" width="12.375" style="52" customWidth="1"/>
    <col min="28" max="16384" width="9" style="153"/>
  </cols>
  <sheetData>
    <row r="1" spans="1:33">
      <c r="A1" s="93"/>
      <c r="P1" s="223" t="s">
        <v>76</v>
      </c>
      <c r="Q1" s="223"/>
      <c r="R1" s="223"/>
      <c r="S1" s="223"/>
      <c r="T1" s="223"/>
      <c r="U1" s="223"/>
      <c r="V1" s="223"/>
      <c r="Y1" s="73">
        <v>22</v>
      </c>
      <c r="AA1" s="153"/>
    </row>
    <row r="2" spans="1:33" ht="15.75" customHeight="1">
      <c r="A2" s="170"/>
      <c r="B2" s="70"/>
      <c r="C2" s="74"/>
      <c r="D2" s="74"/>
      <c r="E2" s="224" t="s">
        <v>362</v>
      </c>
      <c r="F2" s="224"/>
      <c r="G2" s="224"/>
      <c r="H2" s="225" t="s">
        <v>211</v>
      </c>
      <c r="I2" s="225"/>
      <c r="J2" s="225"/>
      <c r="K2" s="225"/>
      <c r="L2" s="225"/>
      <c r="M2" s="225"/>
      <c r="N2" s="225"/>
      <c r="O2" s="225"/>
      <c r="P2" s="225" t="s">
        <v>78</v>
      </c>
      <c r="Q2" s="225"/>
      <c r="R2" s="225"/>
      <c r="S2" s="225"/>
      <c r="T2" s="225"/>
      <c r="U2" s="225"/>
      <c r="V2" s="226" t="s">
        <v>79</v>
      </c>
      <c r="W2" s="226"/>
      <c r="X2" s="226"/>
      <c r="Y2" s="91">
        <v>0.66666666666666663</v>
      </c>
      <c r="Z2" s="85"/>
      <c r="AA2" s="153"/>
    </row>
    <row r="3" spans="1:33" s="155" customFormat="1" ht="12.95" customHeight="1">
      <c r="A3" s="170"/>
      <c r="B3" s="307" t="s">
        <v>135</v>
      </c>
      <c r="C3" s="248" t="s">
        <v>140</v>
      </c>
      <c r="D3" s="248" t="s">
        <v>141</v>
      </c>
      <c r="E3" s="249" t="s">
        <v>142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9" t="s">
        <v>143</v>
      </c>
      <c r="R3" s="250"/>
      <c r="S3" s="251"/>
      <c r="T3" s="249" t="s">
        <v>144</v>
      </c>
      <c r="U3" s="250"/>
      <c r="V3" s="250"/>
      <c r="W3" s="250"/>
      <c r="X3" s="251"/>
      <c r="Y3" s="248" t="s">
        <v>145</v>
      </c>
      <c r="Z3" s="84"/>
      <c r="AA3" s="153"/>
      <c r="AB3" s="153"/>
    </row>
    <row r="4" spans="1:33" s="155" customFormat="1" ht="12.95" customHeight="1">
      <c r="A4" s="170"/>
      <c r="B4" s="308"/>
      <c r="C4" s="310"/>
      <c r="D4" s="310"/>
      <c r="E4" s="244" t="s">
        <v>86</v>
      </c>
      <c r="F4" s="246" t="s">
        <v>39</v>
      </c>
      <c r="G4" s="227" t="s">
        <v>47</v>
      </c>
      <c r="H4" s="246" t="s">
        <v>39</v>
      </c>
      <c r="I4" s="227" t="s">
        <v>47</v>
      </c>
      <c r="J4" s="249" t="s">
        <v>41</v>
      </c>
      <c r="K4" s="250"/>
      <c r="L4" s="250"/>
      <c r="M4" s="250"/>
      <c r="N4" s="250"/>
      <c r="O4" s="250"/>
      <c r="P4" s="251"/>
      <c r="Q4" s="248" t="s">
        <v>146</v>
      </c>
      <c r="R4" s="248" t="s">
        <v>147</v>
      </c>
      <c r="S4" s="248" t="s">
        <v>148</v>
      </c>
      <c r="T4" s="248" t="s">
        <v>149</v>
      </c>
      <c r="U4" s="248" t="s">
        <v>150</v>
      </c>
      <c r="V4" s="248" t="s">
        <v>151</v>
      </c>
      <c r="W4" s="248" t="s">
        <v>152</v>
      </c>
      <c r="X4" s="248" t="s">
        <v>153</v>
      </c>
      <c r="Y4" s="310"/>
      <c r="Z4" s="84"/>
      <c r="AA4" s="153"/>
      <c r="AB4" s="153"/>
    </row>
    <row r="5" spans="1:33" s="155" customFormat="1" ht="12.95" customHeight="1">
      <c r="A5" s="170"/>
      <c r="B5" s="308"/>
      <c r="C5" s="310"/>
      <c r="D5" s="310"/>
      <c r="E5" s="244"/>
      <c r="F5" s="246"/>
      <c r="G5" s="227"/>
      <c r="H5" s="246"/>
      <c r="I5" s="227"/>
      <c r="J5" s="227" t="s">
        <v>95</v>
      </c>
      <c r="K5" s="227" t="s">
        <v>42</v>
      </c>
      <c r="L5" s="227" t="s">
        <v>43</v>
      </c>
      <c r="M5" s="227" t="s">
        <v>44</v>
      </c>
      <c r="N5" s="227" t="s">
        <v>45</v>
      </c>
      <c r="O5" s="234" t="s">
        <v>96</v>
      </c>
      <c r="P5" s="227" t="s">
        <v>46</v>
      </c>
      <c r="Q5" s="310"/>
      <c r="R5" s="310"/>
      <c r="S5" s="310"/>
      <c r="T5" s="310"/>
      <c r="U5" s="310"/>
      <c r="V5" s="310"/>
      <c r="W5" s="310"/>
      <c r="X5" s="310"/>
      <c r="Y5" s="310"/>
      <c r="Z5" s="84"/>
      <c r="AA5" s="153"/>
      <c r="AB5" s="153"/>
    </row>
    <row r="6" spans="1:33" s="155" customFormat="1" ht="12.95" customHeight="1">
      <c r="A6" s="170"/>
      <c r="B6" s="308"/>
      <c r="C6" s="310"/>
      <c r="D6" s="310"/>
      <c r="E6" s="244"/>
      <c r="F6" s="246"/>
      <c r="G6" s="227"/>
      <c r="H6" s="246"/>
      <c r="I6" s="227"/>
      <c r="J6" s="227"/>
      <c r="K6" s="227"/>
      <c r="L6" s="227"/>
      <c r="M6" s="227"/>
      <c r="N6" s="227"/>
      <c r="O6" s="234"/>
      <c r="P6" s="227"/>
      <c r="Q6" s="310"/>
      <c r="R6" s="310"/>
      <c r="S6" s="310"/>
      <c r="T6" s="311"/>
      <c r="U6" s="311"/>
      <c r="V6" s="311"/>
      <c r="W6" s="311"/>
      <c r="X6" s="311"/>
      <c r="Y6" s="310"/>
      <c r="Z6" s="84"/>
      <c r="AA6" s="153"/>
      <c r="AB6" s="153"/>
    </row>
    <row r="7" spans="1:33" s="155" customFormat="1" ht="12.95" customHeight="1">
      <c r="A7" s="170"/>
      <c r="B7" s="309"/>
      <c r="C7" s="311"/>
      <c r="D7" s="311"/>
      <c r="E7" s="245"/>
      <c r="F7" s="247"/>
      <c r="G7" s="227"/>
      <c r="H7" s="246"/>
      <c r="I7" s="227"/>
      <c r="J7" s="227"/>
      <c r="K7" s="227"/>
      <c r="L7" s="227"/>
      <c r="M7" s="227"/>
      <c r="N7" s="227"/>
      <c r="O7" s="234"/>
      <c r="P7" s="227"/>
      <c r="Q7" s="311"/>
      <c r="R7" s="311"/>
      <c r="S7" s="311"/>
      <c r="T7" s="152">
        <v>5</v>
      </c>
      <c r="U7" s="152">
        <v>4</v>
      </c>
      <c r="V7" s="152">
        <v>3</v>
      </c>
      <c r="W7" s="152">
        <v>2</v>
      </c>
      <c r="X7" s="152">
        <v>1</v>
      </c>
      <c r="Y7" s="311"/>
      <c r="Z7" s="84"/>
      <c r="AA7" s="153"/>
      <c r="AB7" s="153"/>
    </row>
    <row r="8" spans="1:33" ht="12.95" customHeight="1">
      <c r="A8" s="153">
        <v>269</v>
      </c>
      <c r="B8" s="264">
        <v>43829</v>
      </c>
      <c r="C8" s="228" t="s">
        <v>97</v>
      </c>
      <c r="D8" s="228" t="s">
        <v>98</v>
      </c>
      <c r="E8" s="255" t="s">
        <v>320</v>
      </c>
      <c r="F8" s="134" t="s">
        <v>321</v>
      </c>
      <c r="G8" s="53">
        <f>ROUND(55*A8/1000,0)</f>
        <v>15</v>
      </c>
      <c r="H8" s="128" t="s">
        <v>323</v>
      </c>
      <c r="I8" s="48">
        <f>ROUND(1*A8/1000,1)</f>
        <v>0.3</v>
      </c>
      <c r="J8" s="231">
        <v>5</v>
      </c>
      <c r="K8" s="231">
        <v>2.1</v>
      </c>
      <c r="L8" s="231">
        <v>1</v>
      </c>
      <c r="M8" s="231">
        <v>2.1</v>
      </c>
      <c r="N8" s="231">
        <v>0</v>
      </c>
      <c r="O8" s="231">
        <v>2.5</v>
      </c>
      <c r="P8" s="231">
        <f>SUM(J8*70+K8*75+L8*120+M8*25+N8*60+O8*45)</f>
        <v>792.5</v>
      </c>
      <c r="Q8" s="228"/>
      <c r="R8" s="228"/>
      <c r="S8" s="228"/>
      <c r="T8" s="228"/>
      <c r="U8" s="228"/>
      <c r="V8" s="228"/>
      <c r="W8" s="228"/>
      <c r="X8" s="228"/>
      <c r="Y8" s="252" t="s">
        <v>423</v>
      </c>
      <c r="Z8" s="85"/>
      <c r="AA8" s="153"/>
      <c r="AC8" s="155"/>
      <c r="AD8" s="155"/>
    </row>
    <row r="9" spans="1:33" ht="12.95" customHeight="1">
      <c r="B9" s="265"/>
      <c r="C9" s="229"/>
      <c r="D9" s="229"/>
      <c r="E9" s="256"/>
      <c r="F9" s="128" t="s">
        <v>322</v>
      </c>
      <c r="G9" s="48">
        <f>ROUND(25*A8/1000,0)</f>
        <v>7</v>
      </c>
      <c r="I9" s="146"/>
      <c r="J9" s="232"/>
      <c r="K9" s="232"/>
      <c r="L9" s="232"/>
      <c r="M9" s="232"/>
      <c r="N9" s="232"/>
      <c r="O9" s="232"/>
      <c r="P9" s="232"/>
      <c r="Q9" s="229"/>
      <c r="R9" s="229"/>
      <c r="S9" s="229"/>
      <c r="T9" s="229"/>
      <c r="U9" s="229"/>
      <c r="V9" s="229"/>
      <c r="W9" s="229"/>
      <c r="X9" s="229"/>
      <c r="Y9" s="253"/>
      <c r="Z9" s="85"/>
      <c r="AA9" s="153"/>
      <c r="AC9" s="155"/>
      <c r="AD9" s="155"/>
    </row>
    <row r="10" spans="1:33" ht="12.95" customHeight="1">
      <c r="B10" s="265"/>
      <c r="C10" s="229"/>
      <c r="D10" s="229"/>
      <c r="E10" s="257"/>
      <c r="F10" s="194" t="s">
        <v>295</v>
      </c>
      <c r="G10" s="180">
        <v>3</v>
      </c>
      <c r="H10" s="54"/>
      <c r="I10" s="54"/>
      <c r="J10" s="232"/>
      <c r="K10" s="232"/>
      <c r="L10" s="232"/>
      <c r="M10" s="232"/>
      <c r="N10" s="232"/>
      <c r="O10" s="232"/>
      <c r="P10" s="232"/>
      <c r="Q10" s="230"/>
      <c r="R10" s="230"/>
      <c r="S10" s="230"/>
      <c r="T10" s="230"/>
      <c r="U10" s="230"/>
      <c r="V10" s="230"/>
      <c r="W10" s="230"/>
      <c r="X10" s="230"/>
      <c r="Y10" s="253"/>
      <c r="Z10" s="85"/>
      <c r="AA10" s="153"/>
      <c r="AC10" s="155"/>
      <c r="AD10" s="155"/>
      <c r="AE10" s="155"/>
      <c r="AF10" s="155"/>
      <c r="AG10" s="155"/>
    </row>
    <row r="11" spans="1:33" ht="12.95" customHeight="1">
      <c r="B11" s="265"/>
      <c r="C11" s="229"/>
      <c r="D11" s="229"/>
      <c r="E11" s="267" t="s">
        <v>413</v>
      </c>
      <c r="F11" s="146" t="s">
        <v>414</v>
      </c>
      <c r="G11" s="146">
        <f>ROUND(75*A8/1000,0)</f>
        <v>20</v>
      </c>
      <c r="H11" s="146"/>
      <c r="I11" s="49"/>
      <c r="J11" s="232"/>
      <c r="K11" s="232"/>
      <c r="L11" s="232"/>
      <c r="M11" s="232"/>
      <c r="N11" s="232"/>
      <c r="O11" s="232"/>
      <c r="P11" s="232"/>
      <c r="Q11" s="228"/>
      <c r="R11" s="228"/>
      <c r="S11" s="228"/>
      <c r="T11" s="228"/>
      <c r="U11" s="228"/>
      <c r="V11" s="228"/>
      <c r="W11" s="228"/>
      <c r="X11" s="228"/>
      <c r="Y11" s="253"/>
      <c r="AA11" s="153"/>
      <c r="AC11" s="155"/>
      <c r="AD11" s="155"/>
      <c r="AE11" s="155"/>
      <c r="AF11" s="155"/>
      <c r="AG11" s="155"/>
    </row>
    <row r="12" spans="1:33" ht="12.95" customHeight="1">
      <c r="B12" s="265"/>
      <c r="C12" s="229"/>
      <c r="D12" s="229"/>
      <c r="E12" s="322"/>
      <c r="F12" s="146" t="s">
        <v>415</v>
      </c>
      <c r="G12" s="146">
        <f>ROUND(15*A8/1000,0)</f>
        <v>4</v>
      </c>
      <c r="H12" s="146"/>
      <c r="I12" s="146"/>
      <c r="J12" s="232"/>
      <c r="K12" s="232"/>
      <c r="L12" s="232"/>
      <c r="M12" s="232"/>
      <c r="N12" s="232"/>
      <c r="O12" s="232"/>
      <c r="P12" s="232"/>
      <c r="Q12" s="229"/>
      <c r="R12" s="229"/>
      <c r="S12" s="229"/>
      <c r="T12" s="229"/>
      <c r="U12" s="229"/>
      <c r="V12" s="229"/>
      <c r="W12" s="229"/>
      <c r="X12" s="229"/>
      <c r="Y12" s="253"/>
      <c r="AA12" s="153"/>
      <c r="AC12" s="155"/>
      <c r="AD12" s="155"/>
      <c r="AE12" s="155"/>
      <c r="AF12" s="155"/>
      <c r="AG12" s="155"/>
    </row>
    <row r="13" spans="1:33" ht="12.95" customHeight="1">
      <c r="B13" s="265"/>
      <c r="C13" s="229"/>
      <c r="D13" s="229"/>
      <c r="E13" s="323"/>
      <c r="F13" s="146"/>
      <c r="G13" s="146"/>
      <c r="H13" s="147"/>
      <c r="I13" s="147"/>
      <c r="J13" s="232"/>
      <c r="K13" s="232"/>
      <c r="L13" s="232"/>
      <c r="M13" s="232"/>
      <c r="N13" s="232"/>
      <c r="O13" s="232"/>
      <c r="P13" s="232"/>
      <c r="Q13" s="230"/>
      <c r="R13" s="230"/>
      <c r="S13" s="230"/>
      <c r="T13" s="230"/>
      <c r="U13" s="230"/>
      <c r="V13" s="230"/>
      <c r="W13" s="230"/>
      <c r="X13" s="230"/>
      <c r="Y13" s="253"/>
      <c r="AA13" s="153"/>
      <c r="AC13" s="155"/>
      <c r="AD13" s="155"/>
      <c r="AE13" s="155"/>
      <c r="AF13" s="155"/>
      <c r="AG13" s="155"/>
    </row>
    <row r="14" spans="1:33" ht="12.95" customHeight="1">
      <c r="B14" s="265"/>
      <c r="C14" s="229"/>
      <c r="D14" s="229"/>
      <c r="E14" s="247" t="s">
        <v>213</v>
      </c>
      <c r="F14" s="145" t="s">
        <v>339</v>
      </c>
      <c r="G14" s="49">
        <f>80*A8/1000</f>
        <v>21.52</v>
      </c>
      <c r="H14" s="53"/>
      <c r="I14" s="53"/>
      <c r="J14" s="232"/>
      <c r="K14" s="232"/>
      <c r="L14" s="232"/>
      <c r="M14" s="232"/>
      <c r="N14" s="232"/>
      <c r="O14" s="232"/>
      <c r="P14" s="232"/>
      <c r="Q14" s="228"/>
      <c r="R14" s="228"/>
      <c r="S14" s="228"/>
      <c r="T14" s="228"/>
      <c r="U14" s="228"/>
      <c r="V14" s="228"/>
      <c r="W14" s="228"/>
      <c r="X14" s="228"/>
      <c r="Y14" s="253"/>
      <c r="AA14" s="153"/>
      <c r="AC14" s="155"/>
      <c r="AD14" s="155"/>
      <c r="AE14" s="155"/>
      <c r="AF14" s="155"/>
      <c r="AG14" s="155"/>
    </row>
    <row r="15" spans="1:33" ht="12.95" customHeight="1">
      <c r="B15" s="265"/>
      <c r="C15" s="229"/>
      <c r="D15" s="229"/>
      <c r="E15" s="244"/>
      <c r="F15" s="156" t="s">
        <v>340</v>
      </c>
      <c r="G15" s="146">
        <v>3</v>
      </c>
      <c r="H15" s="48"/>
      <c r="I15" s="48"/>
      <c r="J15" s="232"/>
      <c r="K15" s="232"/>
      <c r="L15" s="232"/>
      <c r="M15" s="232"/>
      <c r="N15" s="232"/>
      <c r="O15" s="232"/>
      <c r="P15" s="232"/>
      <c r="Q15" s="229"/>
      <c r="R15" s="229"/>
      <c r="S15" s="229"/>
      <c r="T15" s="229"/>
      <c r="U15" s="229"/>
      <c r="V15" s="229"/>
      <c r="W15" s="229"/>
      <c r="X15" s="229"/>
      <c r="Y15" s="253"/>
      <c r="AA15" s="153"/>
      <c r="AC15" s="155"/>
      <c r="AD15" s="155"/>
      <c r="AE15" s="155"/>
      <c r="AF15" s="155"/>
      <c r="AG15" s="155"/>
    </row>
    <row r="16" spans="1:33" ht="12.95" customHeight="1">
      <c r="B16" s="265"/>
      <c r="C16" s="229"/>
      <c r="D16" s="229"/>
      <c r="E16" s="245"/>
      <c r="F16" s="147"/>
      <c r="G16" s="147"/>
      <c r="H16" s="54"/>
      <c r="I16" s="54"/>
      <c r="J16" s="232"/>
      <c r="K16" s="232"/>
      <c r="L16" s="232"/>
      <c r="M16" s="232"/>
      <c r="N16" s="232"/>
      <c r="O16" s="232"/>
      <c r="P16" s="232"/>
      <c r="Q16" s="230"/>
      <c r="R16" s="230"/>
      <c r="S16" s="230"/>
      <c r="T16" s="230"/>
      <c r="U16" s="230"/>
      <c r="V16" s="230"/>
      <c r="W16" s="230"/>
      <c r="X16" s="230"/>
      <c r="Y16" s="253"/>
      <c r="AA16" s="153"/>
      <c r="AC16" s="155"/>
      <c r="AD16" s="155"/>
      <c r="AE16" s="155"/>
      <c r="AF16" s="155"/>
      <c r="AG16" s="155"/>
    </row>
    <row r="17" spans="1:33" ht="12.95" customHeight="1">
      <c r="B17" s="265"/>
      <c r="C17" s="229"/>
      <c r="D17" s="229"/>
      <c r="E17" s="267" t="s">
        <v>286</v>
      </c>
      <c r="F17" s="117" t="s">
        <v>214</v>
      </c>
      <c r="G17" s="146">
        <f>ROUND(45*A8/1000,0)</f>
        <v>12</v>
      </c>
      <c r="H17" s="117"/>
      <c r="I17" s="117"/>
      <c r="J17" s="232"/>
      <c r="K17" s="232"/>
      <c r="L17" s="232"/>
      <c r="M17" s="232"/>
      <c r="N17" s="232"/>
      <c r="O17" s="232"/>
      <c r="P17" s="232"/>
      <c r="Q17" s="228"/>
      <c r="R17" s="228"/>
      <c r="S17" s="228"/>
      <c r="T17" s="228"/>
      <c r="U17" s="228"/>
      <c r="V17" s="228"/>
      <c r="W17" s="228"/>
      <c r="X17" s="228"/>
      <c r="Y17" s="253"/>
      <c r="AA17" s="153"/>
      <c r="AC17" s="155"/>
      <c r="AD17" s="155"/>
      <c r="AE17" s="155"/>
      <c r="AF17" s="155"/>
      <c r="AG17" s="155"/>
    </row>
    <row r="18" spans="1:33" ht="12.95" customHeight="1">
      <c r="B18" s="265"/>
      <c r="C18" s="229"/>
      <c r="D18" s="229"/>
      <c r="E18" s="244"/>
      <c r="F18" s="146" t="s">
        <v>75</v>
      </c>
      <c r="G18" s="83">
        <f>ROUND(0.5*A8/1000,1)</f>
        <v>0.1</v>
      </c>
      <c r="I18" s="146"/>
      <c r="J18" s="232"/>
      <c r="K18" s="232"/>
      <c r="L18" s="232"/>
      <c r="M18" s="232"/>
      <c r="N18" s="232"/>
      <c r="O18" s="232"/>
      <c r="P18" s="232"/>
      <c r="Q18" s="229"/>
      <c r="R18" s="229"/>
      <c r="S18" s="229"/>
      <c r="T18" s="229"/>
      <c r="U18" s="229"/>
      <c r="V18" s="229"/>
      <c r="W18" s="229"/>
      <c r="X18" s="229"/>
      <c r="Y18" s="253"/>
      <c r="AA18" s="153"/>
      <c r="AC18" s="155"/>
      <c r="AD18" s="155"/>
      <c r="AE18" s="155"/>
      <c r="AF18" s="155"/>
      <c r="AG18" s="155"/>
    </row>
    <row r="19" spans="1:33" ht="12.95" customHeight="1">
      <c r="B19" s="266"/>
      <c r="C19" s="230"/>
      <c r="D19" s="229"/>
      <c r="E19" s="245"/>
      <c r="F19" s="146" t="s">
        <v>74</v>
      </c>
      <c r="G19" s="146">
        <f>ROUND(10*A8/1000,0)</f>
        <v>3</v>
      </c>
      <c r="H19" s="102"/>
      <c r="I19" s="147"/>
      <c r="J19" s="233"/>
      <c r="K19" s="233"/>
      <c r="L19" s="233"/>
      <c r="M19" s="233"/>
      <c r="N19" s="233"/>
      <c r="O19" s="233"/>
      <c r="P19" s="233"/>
      <c r="Q19" s="230"/>
      <c r="R19" s="230"/>
      <c r="S19" s="230"/>
      <c r="T19" s="230"/>
      <c r="U19" s="230"/>
      <c r="V19" s="230"/>
      <c r="W19" s="230"/>
      <c r="X19" s="230"/>
      <c r="Y19" s="254"/>
      <c r="AA19" s="153"/>
      <c r="AC19" s="155"/>
      <c r="AD19" s="155"/>
      <c r="AE19" s="155"/>
      <c r="AF19" s="155"/>
      <c r="AG19" s="155"/>
    </row>
    <row r="20" spans="1:33" s="68" customFormat="1" ht="12.95" customHeight="1">
      <c r="A20" s="177"/>
      <c r="B20" s="258" t="s">
        <v>37</v>
      </c>
      <c r="C20" s="259"/>
      <c r="D20" s="260"/>
      <c r="E20" s="279" t="s">
        <v>252</v>
      </c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3"/>
      <c r="AA20" s="153"/>
      <c r="AB20" s="153"/>
      <c r="AC20" s="155"/>
      <c r="AD20" s="155"/>
      <c r="AE20" s="155"/>
      <c r="AF20" s="155"/>
      <c r="AG20" s="155"/>
    </row>
    <row r="21" spans="1:33" ht="12.95" customHeight="1">
      <c r="A21" s="189">
        <v>269</v>
      </c>
      <c r="B21" s="264">
        <v>43830</v>
      </c>
      <c r="C21" s="228" t="s">
        <v>106</v>
      </c>
      <c r="D21" s="228" t="s">
        <v>367</v>
      </c>
      <c r="E21" s="267" t="s">
        <v>306</v>
      </c>
      <c r="F21" s="151" t="s">
        <v>307</v>
      </c>
      <c r="G21" s="148">
        <f>ROUND(80*A21/1000,0)</f>
        <v>22</v>
      </c>
      <c r="H21" s="122" t="s">
        <v>308</v>
      </c>
      <c r="I21" s="148" t="s">
        <v>309</v>
      </c>
      <c r="J21" s="231">
        <v>5.4</v>
      </c>
      <c r="K21" s="231">
        <v>2.4</v>
      </c>
      <c r="L21" s="231">
        <v>0</v>
      </c>
      <c r="M21" s="231">
        <v>1.6</v>
      </c>
      <c r="N21" s="231">
        <v>0</v>
      </c>
      <c r="O21" s="231">
        <v>2.5</v>
      </c>
      <c r="P21" s="231">
        <f>SUM(J21*70+K21*75+L21*120+M21*25+N21*60+O21*45)</f>
        <v>710.5</v>
      </c>
      <c r="Q21" s="228"/>
      <c r="R21" s="228"/>
      <c r="S21" s="228"/>
      <c r="T21" s="228"/>
      <c r="U21" s="228"/>
      <c r="V21" s="228"/>
      <c r="W21" s="228"/>
      <c r="X21" s="228"/>
      <c r="Y21" s="228"/>
      <c r="AA21" s="153"/>
      <c r="AC21" s="155"/>
      <c r="AD21" s="155"/>
      <c r="AE21" s="155"/>
      <c r="AF21" s="155"/>
      <c r="AG21" s="155"/>
    </row>
    <row r="22" spans="1:33" ht="12.95" customHeight="1">
      <c r="A22" s="190"/>
      <c r="B22" s="265"/>
      <c r="C22" s="229"/>
      <c r="D22" s="229"/>
      <c r="E22" s="244"/>
      <c r="F22" s="158" t="s">
        <v>310</v>
      </c>
      <c r="G22" s="149">
        <f>ROUND(20*A21/1000,0)</f>
        <v>5</v>
      </c>
      <c r="H22" s="123" t="s">
        <v>295</v>
      </c>
      <c r="I22" s="124">
        <f>ROUND(10*A21/1000,0)</f>
        <v>3</v>
      </c>
      <c r="J22" s="232"/>
      <c r="K22" s="232"/>
      <c r="L22" s="232"/>
      <c r="M22" s="232"/>
      <c r="N22" s="232"/>
      <c r="O22" s="232"/>
      <c r="P22" s="232"/>
      <c r="Q22" s="229"/>
      <c r="R22" s="229"/>
      <c r="S22" s="229"/>
      <c r="T22" s="229"/>
      <c r="U22" s="229"/>
      <c r="V22" s="229"/>
      <c r="W22" s="229"/>
      <c r="X22" s="229"/>
      <c r="Y22" s="229"/>
      <c r="AA22" s="153"/>
      <c r="AC22" s="155"/>
      <c r="AD22" s="155"/>
      <c r="AE22" s="155"/>
      <c r="AF22" s="155"/>
      <c r="AG22" s="155"/>
    </row>
    <row r="23" spans="1:33" ht="12.95" customHeight="1">
      <c r="A23" s="190"/>
      <c r="B23" s="265"/>
      <c r="C23" s="229"/>
      <c r="D23" s="229"/>
      <c r="E23" s="245"/>
      <c r="F23" s="159" t="s">
        <v>311</v>
      </c>
      <c r="G23" s="150">
        <v>0.1</v>
      </c>
      <c r="H23" s="125"/>
      <c r="I23" s="126"/>
      <c r="J23" s="232"/>
      <c r="K23" s="232"/>
      <c r="L23" s="232"/>
      <c r="M23" s="232"/>
      <c r="N23" s="232"/>
      <c r="O23" s="232"/>
      <c r="P23" s="232"/>
      <c r="Q23" s="230"/>
      <c r="R23" s="230"/>
      <c r="S23" s="230"/>
      <c r="T23" s="230"/>
      <c r="U23" s="230"/>
      <c r="V23" s="230"/>
      <c r="W23" s="230"/>
      <c r="X23" s="230"/>
      <c r="Y23" s="229"/>
      <c r="AA23" s="153"/>
    </row>
    <row r="24" spans="1:33" ht="12.95" customHeight="1">
      <c r="A24" s="190"/>
      <c r="B24" s="265"/>
      <c r="C24" s="229"/>
      <c r="D24" s="229"/>
      <c r="E24" s="267" t="s">
        <v>287</v>
      </c>
      <c r="F24" s="90" t="s">
        <v>64</v>
      </c>
      <c r="G24" s="50">
        <f>70*A21/1000</f>
        <v>18.829999999999998</v>
      </c>
      <c r="H24" s="146" t="s">
        <v>204</v>
      </c>
      <c r="I24" s="83">
        <f>ROUND(1*A21/1000,1)</f>
        <v>0.3</v>
      </c>
      <c r="J24" s="232"/>
      <c r="K24" s="232"/>
      <c r="L24" s="232"/>
      <c r="M24" s="232"/>
      <c r="N24" s="232"/>
      <c r="O24" s="232"/>
      <c r="P24" s="232"/>
      <c r="Q24" s="228"/>
      <c r="R24" s="228"/>
      <c r="S24" s="228"/>
      <c r="T24" s="228"/>
      <c r="U24" s="228"/>
      <c r="V24" s="228"/>
      <c r="W24" s="228"/>
      <c r="X24" s="228"/>
      <c r="Y24" s="229"/>
      <c r="AA24" s="153"/>
    </row>
    <row r="25" spans="1:33" ht="12.95" customHeight="1">
      <c r="A25" s="190"/>
      <c r="B25" s="265"/>
      <c r="C25" s="229"/>
      <c r="D25" s="229"/>
      <c r="E25" s="244"/>
      <c r="F25" s="59" t="s">
        <v>216</v>
      </c>
      <c r="G25" s="50">
        <f>ROUND(12.6*A21/1000,0)</f>
        <v>3</v>
      </c>
      <c r="H25" s="59"/>
      <c r="I25" s="50"/>
      <c r="J25" s="232"/>
      <c r="K25" s="232"/>
      <c r="L25" s="232"/>
      <c r="M25" s="232"/>
      <c r="N25" s="232"/>
      <c r="O25" s="232"/>
      <c r="P25" s="232"/>
      <c r="Q25" s="229"/>
      <c r="R25" s="229"/>
      <c r="S25" s="229"/>
      <c r="T25" s="229"/>
      <c r="U25" s="229"/>
      <c r="V25" s="229"/>
      <c r="W25" s="229"/>
      <c r="X25" s="229"/>
      <c r="Y25" s="229"/>
      <c r="AA25" s="153"/>
    </row>
    <row r="26" spans="1:33" ht="12.95" customHeight="1">
      <c r="A26" s="190"/>
      <c r="B26" s="265"/>
      <c r="C26" s="229"/>
      <c r="D26" s="229"/>
      <c r="E26" s="245"/>
      <c r="F26" s="115" t="s">
        <v>217</v>
      </c>
      <c r="G26" s="51">
        <f>ROUND(3.3*A21/1000,0)</f>
        <v>1</v>
      </c>
      <c r="H26" s="154"/>
      <c r="I26" s="89"/>
      <c r="J26" s="232"/>
      <c r="K26" s="232"/>
      <c r="L26" s="232"/>
      <c r="M26" s="232"/>
      <c r="N26" s="232"/>
      <c r="O26" s="232"/>
      <c r="P26" s="232"/>
      <c r="Q26" s="230"/>
      <c r="R26" s="230"/>
      <c r="S26" s="230"/>
      <c r="T26" s="230"/>
      <c r="U26" s="230"/>
      <c r="V26" s="230"/>
      <c r="W26" s="230"/>
      <c r="X26" s="230"/>
      <c r="Y26" s="229"/>
      <c r="AA26" s="153"/>
    </row>
    <row r="27" spans="1:33" ht="12.95" customHeight="1">
      <c r="A27" s="190"/>
      <c r="B27" s="265"/>
      <c r="C27" s="229"/>
      <c r="D27" s="229"/>
      <c r="E27" s="247" t="s">
        <v>104</v>
      </c>
      <c r="F27" s="145" t="s">
        <v>341</v>
      </c>
      <c r="G27" s="49">
        <v>21.52</v>
      </c>
      <c r="H27" s="117"/>
      <c r="I27" s="117"/>
      <c r="J27" s="232"/>
      <c r="K27" s="232"/>
      <c r="L27" s="232"/>
      <c r="M27" s="232"/>
      <c r="N27" s="232"/>
      <c r="O27" s="232"/>
      <c r="P27" s="232"/>
      <c r="Q27" s="228"/>
      <c r="R27" s="228"/>
      <c r="S27" s="228"/>
      <c r="T27" s="228"/>
      <c r="U27" s="228"/>
      <c r="V27" s="228"/>
      <c r="W27" s="228"/>
      <c r="X27" s="228"/>
      <c r="Y27" s="229"/>
      <c r="AA27" s="153"/>
    </row>
    <row r="28" spans="1:33" ht="12.95" customHeight="1">
      <c r="A28" s="190"/>
      <c r="B28" s="265"/>
      <c r="C28" s="229"/>
      <c r="D28" s="229"/>
      <c r="E28" s="244"/>
      <c r="F28" s="156" t="s">
        <v>342</v>
      </c>
      <c r="G28" s="156" t="s">
        <v>343</v>
      </c>
      <c r="H28" s="146"/>
      <c r="I28" s="146"/>
      <c r="J28" s="232"/>
      <c r="K28" s="232"/>
      <c r="L28" s="232"/>
      <c r="M28" s="232"/>
      <c r="N28" s="232"/>
      <c r="O28" s="232"/>
      <c r="P28" s="232"/>
      <c r="Q28" s="229"/>
      <c r="R28" s="229"/>
      <c r="S28" s="229"/>
      <c r="T28" s="229"/>
      <c r="U28" s="229"/>
      <c r="V28" s="229"/>
      <c r="W28" s="229"/>
      <c r="X28" s="229"/>
      <c r="Y28" s="229"/>
      <c r="AA28" s="153"/>
    </row>
    <row r="29" spans="1:33" ht="12.95" customHeight="1">
      <c r="A29" s="190"/>
      <c r="B29" s="265"/>
      <c r="C29" s="229"/>
      <c r="D29" s="229"/>
      <c r="E29" s="245"/>
      <c r="F29" s="147"/>
      <c r="G29" s="147"/>
      <c r="H29" s="147"/>
      <c r="I29" s="147"/>
      <c r="J29" s="232"/>
      <c r="K29" s="232"/>
      <c r="L29" s="232"/>
      <c r="M29" s="232"/>
      <c r="N29" s="232"/>
      <c r="O29" s="232"/>
      <c r="P29" s="232"/>
      <c r="Q29" s="230"/>
      <c r="R29" s="230"/>
      <c r="S29" s="230"/>
      <c r="T29" s="230"/>
      <c r="U29" s="230"/>
      <c r="V29" s="230"/>
      <c r="W29" s="230"/>
      <c r="X29" s="230"/>
      <c r="Y29" s="229"/>
      <c r="AA29" s="153"/>
    </row>
    <row r="30" spans="1:33" ht="12.95" customHeight="1">
      <c r="A30" s="190"/>
      <c r="B30" s="265"/>
      <c r="C30" s="229"/>
      <c r="D30" s="229"/>
      <c r="E30" s="267" t="s">
        <v>288</v>
      </c>
      <c r="F30" s="117" t="s">
        <v>218</v>
      </c>
      <c r="G30" s="49">
        <f>ROUND(5*A21/1000,0)</f>
        <v>1</v>
      </c>
      <c r="H30" s="146"/>
      <c r="I30" s="146"/>
      <c r="J30" s="232"/>
      <c r="K30" s="232"/>
      <c r="L30" s="232"/>
      <c r="M30" s="232"/>
      <c r="N30" s="232"/>
      <c r="O30" s="232"/>
      <c r="P30" s="232"/>
      <c r="Q30" s="228"/>
      <c r="R30" s="228"/>
      <c r="S30" s="228"/>
      <c r="T30" s="228"/>
      <c r="U30" s="228"/>
      <c r="V30" s="228"/>
      <c r="W30" s="228"/>
      <c r="X30" s="228"/>
      <c r="Y30" s="229"/>
      <c r="AA30" s="153"/>
    </row>
    <row r="31" spans="1:33" ht="12.95" customHeight="1">
      <c r="A31" s="190"/>
      <c r="B31" s="265"/>
      <c r="C31" s="229"/>
      <c r="D31" s="229"/>
      <c r="E31" s="244"/>
      <c r="F31" s="153" t="s">
        <v>219</v>
      </c>
      <c r="G31" s="209">
        <v>6</v>
      </c>
      <c r="H31" s="146"/>
      <c r="I31" s="146"/>
      <c r="J31" s="232"/>
      <c r="K31" s="232"/>
      <c r="L31" s="232"/>
      <c r="M31" s="232"/>
      <c r="N31" s="232"/>
      <c r="O31" s="232"/>
      <c r="P31" s="232"/>
      <c r="Q31" s="229"/>
      <c r="R31" s="229"/>
      <c r="S31" s="229"/>
      <c r="T31" s="229"/>
      <c r="U31" s="229"/>
      <c r="V31" s="229"/>
      <c r="W31" s="229"/>
      <c r="X31" s="229"/>
      <c r="Y31" s="229"/>
      <c r="AA31" s="153"/>
    </row>
    <row r="32" spans="1:33" ht="12.95" customHeight="1">
      <c r="A32" s="190"/>
      <c r="B32" s="266"/>
      <c r="C32" s="230"/>
      <c r="D32" s="229"/>
      <c r="E32" s="245"/>
      <c r="F32" s="146" t="s">
        <v>220</v>
      </c>
      <c r="G32" s="146">
        <f>ROUND(1*A21/1000,1)</f>
        <v>0.3</v>
      </c>
      <c r="H32" s="147"/>
      <c r="I32" s="147"/>
      <c r="J32" s="233"/>
      <c r="K32" s="233"/>
      <c r="L32" s="233"/>
      <c r="M32" s="233"/>
      <c r="N32" s="233"/>
      <c r="O32" s="233"/>
      <c r="P32" s="233"/>
      <c r="Q32" s="230"/>
      <c r="R32" s="230"/>
      <c r="S32" s="230"/>
      <c r="T32" s="230"/>
      <c r="U32" s="230"/>
      <c r="V32" s="230"/>
      <c r="W32" s="230"/>
      <c r="X32" s="230"/>
      <c r="Y32" s="230"/>
      <c r="AA32" s="153"/>
    </row>
    <row r="33" spans="1:34" s="68" customFormat="1" ht="12.95" customHeight="1">
      <c r="A33" s="191"/>
      <c r="B33" s="258" t="s">
        <v>37</v>
      </c>
      <c r="C33" s="259"/>
      <c r="D33" s="260"/>
      <c r="E33" s="279" t="s">
        <v>421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3"/>
      <c r="AA33" s="153"/>
      <c r="AB33" s="153"/>
      <c r="AC33" s="153"/>
      <c r="AD33" s="153"/>
      <c r="AE33" s="153"/>
      <c r="AF33" s="153"/>
      <c r="AG33" s="153"/>
      <c r="AH33" s="153"/>
    </row>
    <row r="34" spans="1:34" ht="12.95" customHeight="1">
      <c r="A34" s="189">
        <v>269</v>
      </c>
      <c r="B34" s="264">
        <v>43466</v>
      </c>
      <c r="C34" s="228" t="s">
        <v>111</v>
      </c>
      <c r="D34" s="268"/>
      <c r="E34" s="255" t="s">
        <v>317</v>
      </c>
      <c r="F34" s="145"/>
      <c r="G34" s="117"/>
      <c r="H34" s="185"/>
      <c r="I34" s="117"/>
      <c r="J34" s="231"/>
      <c r="K34" s="231"/>
      <c r="L34" s="231"/>
      <c r="M34" s="231"/>
      <c r="N34" s="231"/>
      <c r="O34" s="231"/>
      <c r="P34" s="231"/>
      <c r="Q34" s="228"/>
      <c r="R34" s="228"/>
      <c r="S34" s="228"/>
      <c r="T34" s="228"/>
      <c r="U34" s="228"/>
      <c r="V34" s="228"/>
      <c r="W34" s="228"/>
      <c r="X34" s="228"/>
      <c r="Y34" s="228"/>
      <c r="AA34" s="153"/>
    </row>
    <row r="35" spans="1:34" ht="12.95" customHeight="1">
      <c r="A35" s="190"/>
      <c r="B35" s="265"/>
      <c r="C35" s="229"/>
      <c r="D35" s="229"/>
      <c r="E35" s="256"/>
      <c r="F35" s="146"/>
      <c r="G35" s="146"/>
      <c r="H35" s="121"/>
      <c r="I35" s="146"/>
      <c r="J35" s="232"/>
      <c r="K35" s="232"/>
      <c r="L35" s="232"/>
      <c r="M35" s="232"/>
      <c r="N35" s="232"/>
      <c r="O35" s="232"/>
      <c r="P35" s="232"/>
      <c r="Q35" s="229"/>
      <c r="R35" s="229"/>
      <c r="S35" s="229"/>
      <c r="T35" s="229"/>
      <c r="U35" s="229"/>
      <c r="V35" s="229"/>
      <c r="W35" s="229"/>
      <c r="X35" s="229"/>
      <c r="Y35" s="229"/>
      <c r="AA35" s="153"/>
    </row>
    <row r="36" spans="1:34" ht="12.95" customHeight="1">
      <c r="A36" s="190"/>
      <c r="B36" s="265"/>
      <c r="C36" s="229"/>
      <c r="D36" s="229"/>
      <c r="E36" s="257"/>
      <c r="F36" s="154"/>
      <c r="G36" s="147"/>
      <c r="H36" s="154"/>
      <c r="I36" s="147"/>
      <c r="J36" s="232"/>
      <c r="K36" s="232"/>
      <c r="L36" s="232"/>
      <c r="M36" s="232"/>
      <c r="N36" s="232"/>
      <c r="O36" s="232"/>
      <c r="P36" s="232"/>
      <c r="Q36" s="229"/>
      <c r="R36" s="229"/>
      <c r="S36" s="229"/>
      <c r="T36" s="229"/>
      <c r="U36" s="229"/>
      <c r="V36" s="229"/>
      <c r="W36" s="229"/>
      <c r="X36" s="229"/>
      <c r="Y36" s="229"/>
      <c r="AA36" s="153"/>
    </row>
    <row r="37" spans="1:34" ht="12.95" customHeight="1">
      <c r="A37" s="190"/>
      <c r="B37" s="265"/>
      <c r="C37" s="229"/>
      <c r="D37" s="229"/>
      <c r="E37" s="327"/>
      <c r="F37" s="186"/>
      <c r="G37" s="186"/>
      <c r="H37" s="146"/>
      <c r="I37" s="146"/>
      <c r="J37" s="232"/>
      <c r="K37" s="232"/>
      <c r="L37" s="232"/>
      <c r="M37" s="232"/>
      <c r="N37" s="232"/>
      <c r="O37" s="232"/>
      <c r="P37" s="232"/>
      <c r="Q37" s="228"/>
      <c r="R37" s="228"/>
      <c r="S37" s="228"/>
      <c r="T37" s="228"/>
      <c r="U37" s="228"/>
      <c r="V37" s="228"/>
      <c r="W37" s="228"/>
      <c r="X37" s="228"/>
      <c r="Y37" s="229"/>
      <c r="AA37" s="153"/>
    </row>
    <row r="38" spans="1:34" ht="12.95" customHeight="1">
      <c r="A38" s="190"/>
      <c r="B38" s="265"/>
      <c r="C38" s="229"/>
      <c r="D38" s="229"/>
      <c r="E38" s="328"/>
      <c r="F38" s="187"/>
      <c r="G38" s="187"/>
      <c r="H38" s="146"/>
      <c r="I38" s="146"/>
      <c r="J38" s="232"/>
      <c r="K38" s="232"/>
      <c r="L38" s="232"/>
      <c r="M38" s="232"/>
      <c r="N38" s="232"/>
      <c r="O38" s="232"/>
      <c r="P38" s="232"/>
      <c r="Q38" s="229"/>
      <c r="R38" s="229"/>
      <c r="S38" s="229"/>
      <c r="T38" s="229"/>
      <c r="U38" s="229"/>
      <c r="V38" s="229"/>
      <c r="W38" s="229"/>
      <c r="X38" s="229"/>
      <c r="Y38" s="229"/>
      <c r="AA38" s="153"/>
    </row>
    <row r="39" spans="1:34" ht="12.95" customHeight="1">
      <c r="A39" s="190"/>
      <c r="B39" s="265"/>
      <c r="C39" s="229"/>
      <c r="D39" s="229"/>
      <c r="E39" s="329"/>
      <c r="F39" s="188"/>
      <c r="G39" s="188"/>
      <c r="H39" s="147"/>
      <c r="I39" s="147"/>
      <c r="J39" s="232"/>
      <c r="K39" s="232"/>
      <c r="L39" s="232"/>
      <c r="M39" s="232"/>
      <c r="N39" s="232"/>
      <c r="O39" s="232"/>
      <c r="P39" s="232"/>
      <c r="Q39" s="230"/>
      <c r="R39" s="230"/>
      <c r="S39" s="230"/>
      <c r="T39" s="230"/>
      <c r="U39" s="230"/>
      <c r="V39" s="230"/>
      <c r="W39" s="230"/>
      <c r="X39" s="230"/>
      <c r="Y39" s="229"/>
      <c r="AA39" s="153"/>
    </row>
    <row r="40" spans="1:34" ht="12.95" customHeight="1">
      <c r="A40" s="190"/>
      <c r="B40" s="265"/>
      <c r="C40" s="229"/>
      <c r="D40" s="229"/>
      <c r="E40" s="247"/>
      <c r="F40" s="117"/>
      <c r="G40" s="49"/>
      <c r="H40" s="75"/>
      <c r="I40" s="75"/>
      <c r="J40" s="232"/>
      <c r="K40" s="232"/>
      <c r="L40" s="232"/>
      <c r="M40" s="232"/>
      <c r="N40" s="232"/>
      <c r="O40" s="232"/>
      <c r="P40" s="232"/>
      <c r="Q40" s="228"/>
      <c r="R40" s="228"/>
      <c r="S40" s="228"/>
      <c r="T40" s="228"/>
      <c r="U40" s="228"/>
      <c r="V40" s="228"/>
      <c r="W40" s="228"/>
      <c r="X40" s="228"/>
      <c r="Y40" s="229"/>
      <c r="AA40" s="153"/>
    </row>
    <row r="41" spans="1:34" ht="12.95" customHeight="1">
      <c r="A41" s="190"/>
      <c r="B41" s="265"/>
      <c r="C41" s="229"/>
      <c r="D41" s="229"/>
      <c r="E41" s="244"/>
      <c r="F41" s="146"/>
      <c r="G41" s="146"/>
      <c r="H41" s="48"/>
      <c r="I41" s="48"/>
      <c r="J41" s="232"/>
      <c r="K41" s="232"/>
      <c r="L41" s="232"/>
      <c r="M41" s="232"/>
      <c r="N41" s="232"/>
      <c r="O41" s="232"/>
      <c r="P41" s="232"/>
      <c r="Q41" s="229"/>
      <c r="R41" s="229"/>
      <c r="S41" s="229"/>
      <c r="T41" s="229"/>
      <c r="U41" s="229"/>
      <c r="V41" s="229"/>
      <c r="W41" s="229"/>
      <c r="X41" s="229"/>
      <c r="Y41" s="229"/>
      <c r="AA41" s="153"/>
    </row>
    <row r="42" spans="1:34" ht="12.95" customHeight="1">
      <c r="A42" s="190"/>
      <c r="B42" s="265"/>
      <c r="C42" s="229"/>
      <c r="D42" s="229"/>
      <c r="E42" s="245"/>
      <c r="F42" s="147"/>
      <c r="G42" s="147"/>
      <c r="H42" s="54"/>
      <c r="I42" s="54"/>
      <c r="J42" s="232"/>
      <c r="K42" s="232"/>
      <c r="L42" s="232"/>
      <c r="M42" s="232"/>
      <c r="N42" s="232"/>
      <c r="O42" s="232"/>
      <c r="P42" s="232"/>
      <c r="Q42" s="230"/>
      <c r="R42" s="230"/>
      <c r="S42" s="230"/>
      <c r="T42" s="230"/>
      <c r="U42" s="230"/>
      <c r="V42" s="230"/>
      <c r="W42" s="230"/>
      <c r="X42" s="230"/>
      <c r="Y42" s="229"/>
      <c r="AA42" s="153"/>
    </row>
    <row r="43" spans="1:34" ht="12.95" customHeight="1">
      <c r="A43" s="190"/>
      <c r="B43" s="265"/>
      <c r="C43" s="229"/>
      <c r="D43" s="229"/>
      <c r="E43" s="267"/>
      <c r="F43" s="156"/>
      <c r="G43" s="120"/>
      <c r="H43" s="101"/>
      <c r="I43" s="60"/>
      <c r="J43" s="232"/>
      <c r="K43" s="232"/>
      <c r="L43" s="232"/>
      <c r="M43" s="232"/>
      <c r="N43" s="232"/>
      <c r="O43" s="232"/>
      <c r="P43" s="232"/>
      <c r="Q43" s="228"/>
      <c r="R43" s="228"/>
      <c r="S43" s="228"/>
      <c r="T43" s="228"/>
      <c r="U43" s="228"/>
      <c r="V43" s="228"/>
      <c r="W43" s="228"/>
      <c r="X43" s="228"/>
      <c r="Y43" s="229"/>
      <c r="AA43" s="153"/>
    </row>
    <row r="44" spans="1:34" ht="12.95" customHeight="1">
      <c r="A44" s="190"/>
      <c r="B44" s="265"/>
      <c r="C44" s="229"/>
      <c r="D44" s="229"/>
      <c r="E44" s="244"/>
      <c r="F44" s="81"/>
      <c r="G44" s="81"/>
      <c r="H44" s="100"/>
      <c r="I44" s="61"/>
      <c r="J44" s="232"/>
      <c r="K44" s="232"/>
      <c r="L44" s="232"/>
      <c r="M44" s="232"/>
      <c r="N44" s="232"/>
      <c r="O44" s="232"/>
      <c r="P44" s="232"/>
      <c r="Q44" s="229"/>
      <c r="R44" s="229"/>
      <c r="S44" s="229"/>
      <c r="T44" s="229"/>
      <c r="U44" s="229"/>
      <c r="V44" s="229"/>
      <c r="W44" s="229"/>
      <c r="X44" s="229"/>
      <c r="Y44" s="229"/>
      <c r="AA44" s="153"/>
    </row>
    <row r="45" spans="1:34" ht="12.95" customHeight="1">
      <c r="A45" s="190"/>
      <c r="B45" s="266"/>
      <c r="C45" s="230"/>
      <c r="D45" s="230"/>
      <c r="E45" s="245"/>
      <c r="F45" s="147"/>
      <c r="G45" s="147"/>
      <c r="H45" s="102"/>
      <c r="I45" s="62"/>
      <c r="J45" s="233"/>
      <c r="K45" s="233"/>
      <c r="L45" s="233"/>
      <c r="M45" s="233"/>
      <c r="N45" s="233"/>
      <c r="O45" s="233"/>
      <c r="P45" s="233"/>
      <c r="Q45" s="230"/>
      <c r="R45" s="230"/>
      <c r="S45" s="230"/>
      <c r="T45" s="230"/>
      <c r="U45" s="230"/>
      <c r="V45" s="230"/>
      <c r="W45" s="230"/>
      <c r="X45" s="230"/>
      <c r="Y45" s="230"/>
      <c r="AA45" s="153"/>
    </row>
    <row r="46" spans="1:34" s="68" customFormat="1" ht="12.95" customHeight="1">
      <c r="A46" s="191"/>
      <c r="B46" s="258" t="s">
        <v>37</v>
      </c>
      <c r="C46" s="259"/>
      <c r="D46" s="260"/>
      <c r="E46" s="279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3"/>
      <c r="AA46" s="153"/>
      <c r="AB46" s="153"/>
      <c r="AC46" s="153"/>
      <c r="AD46" s="153"/>
      <c r="AE46" s="153"/>
      <c r="AF46" s="153"/>
      <c r="AG46" s="153"/>
      <c r="AH46" s="153"/>
    </row>
    <row r="47" spans="1:34" ht="12.95" customHeight="1">
      <c r="A47" s="189">
        <v>269</v>
      </c>
      <c r="B47" s="264">
        <v>43467</v>
      </c>
      <c r="C47" s="228" t="s">
        <v>118</v>
      </c>
      <c r="D47" s="228" t="s">
        <v>98</v>
      </c>
      <c r="E47" s="267" t="s">
        <v>318</v>
      </c>
      <c r="F47" s="117" t="s">
        <v>112</v>
      </c>
      <c r="G47" s="117">
        <f>ROUND(55*A47/1000,0)</f>
        <v>15</v>
      </c>
      <c r="H47" s="197" t="s">
        <v>295</v>
      </c>
      <c r="I47" s="75">
        <v>2</v>
      </c>
      <c r="J47" s="231">
        <v>5.4</v>
      </c>
      <c r="K47" s="231">
        <v>2.8</v>
      </c>
      <c r="L47" s="231">
        <v>0</v>
      </c>
      <c r="M47" s="231">
        <v>1.5</v>
      </c>
      <c r="N47" s="231">
        <v>0</v>
      </c>
      <c r="O47" s="231">
        <v>2.5</v>
      </c>
      <c r="P47" s="231">
        <f>SUM(J47*70+166.5+L47*120+M47*25+N47*60+O47*45)</f>
        <v>694.5</v>
      </c>
      <c r="Q47" s="228"/>
      <c r="R47" s="228"/>
      <c r="S47" s="228"/>
      <c r="T47" s="228"/>
      <c r="U47" s="228"/>
      <c r="V47" s="228"/>
      <c r="W47" s="228"/>
      <c r="X47" s="228"/>
      <c r="Y47" s="228"/>
      <c r="AA47" s="153"/>
    </row>
    <row r="48" spans="1:34" ht="12.95" customHeight="1">
      <c r="A48" s="190"/>
      <c r="B48" s="265"/>
      <c r="C48" s="229"/>
      <c r="D48" s="229"/>
      <c r="E48" s="244"/>
      <c r="F48" s="95" t="s">
        <v>113</v>
      </c>
      <c r="G48" s="66">
        <f>ROUND(22*A47/1000,0)</f>
        <v>6</v>
      </c>
      <c r="H48" s="80"/>
      <c r="I48" s="80"/>
      <c r="J48" s="232"/>
      <c r="K48" s="232"/>
      <c r="L48" s="232"/>
      <c r="M48" s="232"/>
      <c r="N48" s="232"/>
      <c r="O48" s="232"/>
      <c r="P48" s="232"/>
      <c r="Q48" s="229"/>
      <c r="R48" s="229"/>
      <c r="S48" s="229"/>
      <c r="T48" s="229"/>
      <c r="U48" s="229"/>
      <c r="V48" s="229"/>
      <c r="W48" s="229"/>
      <c r="X48" s="229"/>
      <c r="Y48" s="229"/>
      <c r="AA48" s="153"/>
    </row>
    <row r="49" spans="1:34" ht="12.95" customHeight="1">
      <c r="A49" s="190"/>
      <c r="B49" s="265"/>
      <c r="C49" s="229"/>
      <c r="D49" s="229"/>
      <c r="E49" s="245"/>
      <c r="F49" s="111" t="s">
        <v>222</v>
      </c>
      <c r="G49" s="86">
        <f>ROUND(14.2*A47/1000,0)</f>
        <v>4</v>
      </c>
      <c r="H49" s="113"/>
      <c r="I49" s="79"/>
      <c r="J49" s="232"/>
      <c r="K49" s="232"/>
      <c r="L49" s="232"/>
      <c r="M49" s="232"/>
      <c r="N49" s="232"/>
      <c r="O49" s="232"/>
      <c r="P49" s="232"/>
      <c r="Q49" s="230"/>
      <c r="R49" s="230"/>
      <c r="S49" s="230"/>
      <c r="T49" s="230"/>
      <c r="U49" s="230"/>
      <c r="V49" s="230"/>
      <c r="W49" s="230"/>
      <c r="X49" s="230"/>
      <c r="Y49" s="229"/>
      <c r="AA49" s="153"/>
    </row>
    <row r="50" spans="1:34" ht="12.95" customHeight="1">
      <c r="A50" s="190"/>
      <c r="B50" s="265"/>
      <c r="C50" s="229"/>
      <c r="D50" s="229"/>
      <c r="E50" s="304" t="s">
        <v>438</v>
      </c>
      <c r="F50" s="210" t="s">
        <v>447</v>
      </c>
      <c r="G50" s="221">
        <v>14.4</v>
      </c>
      <c r="H50" s="196" t="s">
        <v>437</v>
      </c>
      <c r="I50" s="211" t="s">
        <v>449</v>
      </c>
      <c r="J50" s="232"/>
      <c r="K50" s="232"/>
      <c r="L50" s="232"/>
      <c r="M50" s="232"/>
      <c r="N50" s="232"/>
      <c r="O50" s="232"/>
      <c r="P50" s="232"/>
      <c r="Q50" s="228"/>
      <c r="R50" s="228"/>
      <c r="S50" s="228"/>
      <c r="T50" s="228"/>
      <c r="U50" s="228"/>
      <c r="V50" s="228"/>
      <c r="W50" s="228"/>
      <c r="X50" s="228"/>
      <c r="Y50" s="229"/>
      <c r="AA50" s="153"/>
    </row>
    <row r="51" spans="1:34" ht="12.95" customHeight="1">
      <c r="A51" s="190"/>
      <c r="B51" s="265"/>
      <c r="C51" s="229"/>
      <c r="D51" s="229"/>
      <c r="E51" s="330"/>
      <c r="F51" s="196" t="s">
        <v>448</v>
      </c>
      <c r="G51" s="201">
        <v>2</v>
      </c>
      <c r="H51" s="196"/>
      <c r="I51" s="196"/>
      <c r="J51" s="232"/>
      <c r="K51" s="232"/>
      <c r="L51" s="232"/>
      <c r="M51" s="232"/>
      <c r="N51" s="232"/>
      <c r="O51" s="232"/>
      <c r="P51" s="232"/>
      <c r="Q51" s="229"/>
      <c r="R51" s="229"/>
      <c r="S51" s="229"/>
      <c r="T51" s="229"/>
      <c r="U51" s="229"/>
      <c r="V51" s="229"/>
      <c r="W51" s="229"/>
      <c r="X51" s="229"/>
      <c r="Y51" s="229"/>
      <c r="AA51" s="153"/>
    </row>
    <row r="52" spans="1:34" ht="12.95" customHeight="1">
      <c r="A52" s="190"/>
      <c r="B52" s="265"/>
      <c r="C52" s="229"/>
      <c r="D52" s="229"/>
      <c r="E52" s="331"/>
      <c r="F52" s="194" t="s">
        <v>436</v>
      </c>
      <c r="G52" s="208">
        <v>0.1</v>
      </c>
      <c r="H52" s="194"/>
      <c r="I52" s="194"/>
      <c r="J52" s="232"/>
      <c r="K52" s="232"/>
      <c r="L52" s="232"/>
      <c r="M52" s="232"/>
      <c r="N52" s="232"/>
      <c r="O52" s="232"/>
      <c r="P52" s="232"/>
      <c r="Q52" s="230"/>
      <c r="R52" s="230"/>
      <c r="S52" s="230"/>
      <c r="T52" s="230"/>
      <c r="U52" s="230"/>
      <c r="V52" s="230"/>
      <c r="W52" s="230"/>
      <c r="X52" s="230"/>
      <c r="Y52" s="229"/>
      <c r="AA52" s="153"/>
    </row>
    <row r="53" spans="1:34" ht="12.95" customHeight="1">
      <c r="A53" s="190"/>
      <c r="B53" s="265"/>
      <c r="C53" s="229"/>
      <c r="D53" s="229"/>
      <c r="E53" s="247" t="s">
        <v>104</v>
      </c>
      <c r="F53" s="145" t="s">
        <v>341</v>
      </c>
      <c r="G53" s="49">
        <v>21.52</v>
      </c>
      <c r="H53" s="117"/>
      <c r="I53" s="117"/>
      <c r="J53" s="232"/>
      <c r="K53" s="232"/>
      <c r="L53" s="232"/>
      <c r="M53" s="232"/>
      <c r="N53" s="232"/>
      <c r="O53" s="232"/>
      <c r="P53" s="232"/>
      <c r="Q53" s="228"/>
      <c r="R53" s="228"/>
      <c r="S53" s="228"/>
      <c r="T53" s="228"/>
      <c r="U53" s="228"/>
      <c r="V53" s="228"/>
      <c r="W53" s="228"/>
      <c r="X53" s="228"/>
      <c r="Y53" s="229"/>
      <c r="AA53" s="153"/>
    </row>
    <row r="54" spans="1:34" ht="12.95" customHeight="1">
      <c r="A54" s="190"/>
      <c r="B54" s="265"/>
      <c r="C54" s="229"/>
      <c r="D54" s="229"/>
      <c r="E54" s="244"/>
      <c r="F54" s="156" t="s">
        <v>342</v>
      </c>
      <c r="G54" s="156" t="s">
        <v>343</v>
      </c>
      <c r="H54" s="146"/>
      <c r="I54" s="146"/>
      <c r="J54" s="232"/>
      <c r="K54" s="232"/>
      <c r="L54" s="232"/>
      <c r="M54" s="232"/>
      <c r="N54" s="232"/>
      <c r="O54" s="232"/>
      <c r="P54" s="232"/>
      <c r="Q54" s="229"/>
      <c r="R54" s="229"/>
      <c r="S54" s="229"/>
      <c r="T54" s="229"/>
      <c r="U54" s="229"/>
      <c r="V54" s="229"/>
      <c r="W54" s="229"/>
      <c r="X54" s="229"/>
      <c r="Y54" s="229"/>
      <c r="AA54" s="153"/>
    </row>
    <row r="55" spans="1:34" ht="12.95" customHeight="1">
      <c r="A55" s="190"/>
      <c r="B55" s="265"/>
      <c r="C55" s="229"/>
      <c r="D55" s="229"/>
      <c r="E55" s="245"/>
      <c r="F55" s="147"/>
      <c r="G55" s="147"/>
      <c r="H55" s="147"/>
      <c r="I55" s="147"/>
      <c r="J55" s="232"/>
      <c r="K55" s="232"/>
      <c r="L55" s="232"/>
      <c r="M55" s="232"/>
      <c r="N55" s="232"/>
      <c r="O55" s="232"/>
      <c r="P55" s="232"/>
      <c r="Q55" s="230"/>
      <c r="R55" s="230"/>
      <c r="S55" s="230"/>
      <c r="T55" s="230"/>
      <c r="U55" s="230"/>
      <c r="V55" s="230"/>
      <c r="W55" s="230"/>
      <c r="X55" s="230"/>
      <c r="Y55" s="229"/>
      <c r="AA55" s="153"/>
    </row>
    <row r="56" spans="1:34" ht="12.95" customHeight="1">
      <c r="A56" s="190"/>
      <c r="B56" s="265"/>
      <c r="C56" s="229"/>
      <c r="D56" s="229"/>
      <c r="E56" s="267" t="s">
        <v>289</v>
      </c>
      <c r="F56" s="117" t="s">
        <v>223</v>
      </c>
      <c r="G56" s="49">
        <f>ROUND(17*A47/1000,0)</f>
        <v>5</v>
      </c>
      <c r="H56" s="117" t="s">
        <v>108</v>
      </c>
      <c r="I56" s="117">
        <f>ROUND(4*A47/1000,0)</f>
        <v>1</v>
      </c>
      <c r="J56" s="232"/>
      <c r="K56" s="232"/>
      <c r="L56" s="232"/>
      <c r="M56" s="232"/>
      <c r="N56" s="232"/>
      <c r="O56" s="232"/>
      <c r="P56" s="232"/>
      <c r="Q56" s="228"/>
      <c r="R56" s="228"/>
      <c r="S56" s="228"/>
      <c r="T56" s="228"/>
      <c r="U56" s="228"/>
      <c r="V56" s="228"/>
      <c r="W56" s="228"/>
      <c r="X56" s="228"/>
      <c r="Y56" s="229"/>
      <c r="AA56" s="153"/>
    </row>
    <row r="57" spans="1:34" ht="12.95" customHeight="1">
      <c r="A57" s="190"/>
      <c r="B57" s="265"/>
      <c r="C57" s="229"/>
      <c r="D57" s="229"/>
      <c r="E57" s="244"/>
      <c r="F57" s="146" t="s">
        <v>224</v>
      </c>
      <c r="G57" s="48">
        <f>ROUND(8*A47/1000,0)</f>
        <v>2</v>
      </c>
      <c r="H57" s="146" t="s">
        <v>52</v>
      </c>
      <c r="I57" s="50">
        <f>18.8*A47/1000</f>
        <v>5.0571999999999999</v>
      </c>
      <c r="J57" s="232"/>
      <c r="K57" s="232"/>
      <c r="L57" s="232"/>
      <c r="M57" s="232"/>
      <c r="N57" s="232"/>
      <c r="O57" s="232"/>
      <c r="P57" s="232"/>
      <c r="Q57" s="229"/>
      <c r="R57" s="229"/>
      <c r="S57" s="229"/>
      <c r="T57" s="229"/>
      <c r="U57" s="229"/>
      <c r="V57" s="229"/>
      <c r="W57" s="229"/>
      <c r="X57" s="229"/>
      <c r="Y57" s="229"/>
      <c r="AA57" s="153"/>
    </row>
    <row r="58" spans="1:34" ht="12.95" customHeight="1">
      <c r="A58" s="190"/>
      <c r="B58" s="266"/>
      <c r="C58" s="230"/>
      <c r="D58" s="229"/>
      <c r="E58" s="245"/>
      <c r="F58" s="147" t="s">
        <v>50</v>
      </c>
      <c r="G58" s="48">
        <f>ROUND(3*A47/1000,1)</f>
        <v>0.8</v>
      </c>
      <c r="H58" s="147"/>
      <c r="I58" s="48"/>
      <c r="J58" s="233"/>
      <c r="K58" s="233"/>
      <c r="L58" s="233"/>
      <c r="M58" s="233"/>
      <c r="N58" s="233"/>
      <c r="O58" s="233"/>
      <c r="P58" s="233"/>
      <c r="Q58" s="230"/>
      <c r="R58" s="230"/>
      <c r="S58" s="230"/>
      <c r="T58" s="230"/>
      <c r="U58" s="230"/>
      <c r="V58" s="230"/>
      <c r="W58" s="230"/>
      <c r="X58" s="230"/>
      <c r="Y58" s="230"/>
      <c r="AA58" s="153"/>
    </row>
    <row r="59" spans="1:34" s="68" customFormat="1" ht="12.95" customHeight="1">
      <c r="A59" s="191"/>
      <c r="B59" s="258" t="s">
        <v>122</v>
      </c>
      <c r="C59" s="259"/>
      <c r="D59" s="260"/>
      <c r="E59" s="279" t="s">
        <v>253</v>
      </c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3"/>
      <c r="AA59" s="153"/>
      <c r="AB59" s="153"/>
      <c r="AC59" s="153"/>
      <c r="AD59" s="153"/>
      <c r="AE59" s="153"/>
      <c r="AF59" s="153"/>
      <c r="AG59" s="153"/>
      <c r="AH59" s="153"/>
    </row>
    <row r="60" spans="1:34" ht="12.95" customHeight="1">
      <c r="A60" s="189">
        <v>269</v>
      </c>
      <c r="B60" s="264">
        <v>43468</v>
      </c>
      <c r="C60" s="235" t="s">
        <v>40</v>
      </c>
      <c r="D60" s="273" t="s">
        <v>369</v>
      </c>
      <c r="E60" s="267" t="s">
        <v>290</v>
      </c>
      <c r="F60" s="53" t="s">
        <v>126</v>
      </c>
      <c r="G60" s="53">
        <f>ROUND(61.6*A60/1000,0)</f>
        <v>17</v>
      </c>
      <c r="H60" s="117"/>
      <c r="I60" s="53" t="s">
        <v>225</v>
      </c>
      <c r="J60" s="231">
        <v>5.3</v>
      </c>
      <c r="K60" s="231">
        <v>1.6</v>
      </c>
      <c r="L60" s="231">
        <v>0</v>
      </c>
      <c r="M60" s="231">
        <v>1.6</v>
      </c>
      <c r="N60" s="231">
        <v>0</v>
      </c>
      <c r="O60" s="231">
        <v>2.5</v>
      </c>
      <c r="P60" s="231">
        <f>SUM(J60*70+K60*75+L60*120+M60*25+N60*60+O60*45)</f>
        <v>643.5</v>
      </c>
      <c r="Q60" s="228"/>
      <c r="R60" s="228"/>
      <c r="S60" s="228"/>
      <c r="T60" s="228"/>
      <c r="U60" s="228"/>
      <c r="V60" s="228"/>
      <c r="W60" s="228"/>
      <c r="X60" s="228"/>
      <c r="Y60" s="268"/>
      <c r="AA60" s="153"/>
    </row>
    <row r="61" spans="1:34" ht="12.95" customHeight="1">
      <c r="A61" s="190"/>
      <c r="B61" s="265"/>
      <c r="C61" s="236"/>
      <c r="D61" s="274"/>
      <c r="E61" s="244"/>
      <c r="F61" s="48" t="s">
        <v>212</v>
      </c>
      <c r="G61" s="48">
        <f>ROUND(18*A60/1000,0)</f>
        <v>5</v>
      </c>
      <c r="H61" s="146"/>
      <c r="I61" s="146"/>
      <c r="J61" s="232"/>
      <c r="K61" s="232"/>
      <c r="L61" s="232"/>
      <c r="M61" s="232"/>
      <c r="N61" s="232"/>
      <c r="O61" s="232"/>
      <c r="P61" s="232"/>
      <c r="Q61" s="229"/>
      <c r="R61" s="229"/>
      <c r="S61" s="229"/>
      <c r="T61" s="229"/>
      <c r="U61" s="229"/>
      <c r="V61" s="229"/>
      <c r="W61" s="229"/>
      <c r="X61" s="229"/>
      <c r="Y61" s="269"/>
      <c r="AA61" s="153"/>
    </row>
    <row r="62" spans="1:34" ht="12.95" customHeight="1">
      <c r="A62" s="190"/>
      <c r="B62" s="265"/>
      <c r="C62" s="236"/>
      <c r="D62" s="274"/>
      <c r="E62" s="245"/>
      <c r="F62" s="54" t="s">
        <v>226</v>
      </c>
      <c r="G62" s="54">
        <v>0.6</v>
      </c>
      <c r="H62" s="147"/>
      <c r="I62" s="147"/>
      <c r="J62" s="232"/>
      <c r="K62" s="232"/>
      <c r="L62" s="232"/>
      <c r="M62" s="232"/>
      <c r="N62" s="232"/>
      <c r="O62" s="232"/>
      <c r="P62" s="232"/>
      <c r="Q62" s="230"/>
      <c r="R62" s="230"/>
      <c r="S62" s="230"/>
      <c r="T62" s="230"/>
      <c r="U62" s="230"/>
      <c r="V62" s="230"/>
      <c r="W62" s="230"/>
      <c r="X62" s="230"/>
      <c r="Y62" s="269"/>
      <c r="AA62" s="153"/>
    </row>
    <row r="63" spans="1:34" ht="12.95" customHeight="1">
      <c r="A63" s="190"/>
      <c r="B63" s="265"/>
      <c r="C63" s="236"/>
      <c r="D63" s="274"/>
      <c r="E63" s="267" t="s">
        <v>291</v>
      </c>
      <c r="F63" s="117" t="s">
        <v>227</v>
      </c>
      <c r="G63" s="146">
        <f>ROUND(40*A60/1000,0)</f>
        <v>11</v>
      </c>
      <c r="H63" s="146" t="s">
        <v>50</v>
      </c>
      <c r="I63" s="49">
        <f>ROUND(2*A60/1000,0)</f>
        <v>1</v>
      </c>
      <c r="J63" s="232"/>
      <c r="K63" s="232"/>
      <c r="L63" s="232"/>
      <c r="M63" s="232"/>
      <c r="N63" s="232"/>
      <c r="O63" s="232"/>
      <c r="P63" s="232"/>
      <c r="Q63" s="228"/>
      <c r="R63" s="228"/>
      <c r="S63" s="228"/>
      <c r="T63" s="228"/>
      <c r="U63" s="228"/>
      <c r="V63" s="228"/>
      <c r="W63" s="228"/>
      <c r="X63" s="228"/>
      <c r="Y63" s="269"/>
      <c r="AA63" s="153"/>
    </row>
    <row r="64" spans="1:34" ht="12.95" customHeight="1">
      <c r="A64" s="190"/>
      <c r="B64" s="265"/>
      <c r="C64" s="236"/>
      <c r="D64" s="274"/>
      <c r="E64" s="244"/>
      <c r="F64" s="146" t="s">
        <v>228</v>
      </c>
      <c r="G64" s="146">
        <f>ROUND(35*A60/1000,0)</f>
        <v>9</v>
      </c>
      <c r="H64" s="146"/>
      <c r="I64" s="146"/>
      <c r="J64" s="232"/>
      <c r="K64" s="232"/>
      <c r="L64" s="232"/>
      <c r="M64" s="232"/>
      <c r="N64" s="232"/>
      <c r="O64" s="232"/>
      <c r="P64" s="232"/>
      <c r="Q64" s="229"/>
      <c r="R64" s="229"/>
      <c r="S64" s="229"/>
      <c r="T64" s="229"/>
      <c r="U64" s="229"/>
      <c r="V64" s="229"/>
      <c r="W64" s="229"/>
      <c r="X64" s="229"/>
      <c r="Y64" s="269"/>
      <c r="AA64" s="153"/>
    </row>
    <row r="65" spans="1:34" ht="12.95" customHeight="1">
      <c r="A65" s="190"/>
      <c r="B65" s="265"/>
      <c r="C65" s="236"/>
      <c r="D65" s="274"/>
      <c r="E65" s="245"/>
      <c r="F65" s="147" t="s">
        <v>63</v>
      </c>
      <c r="G65" s="147">
        <f>ROUND(0.7*A60/1000,1)</f>
        <v>0.2</v>
      </c>
      <c r="H65" s="147"/>
      <c r="I65" s="147"/>
      <c r="J65" s="232"/>
      <c r="K65" s="232"/>
      <c r="L65" s="232"/>
      <c r="M65" s="232"/>
      <c r="N65" s="232"/>
      <c r="O65" s="232"/>
      <c r="P65" s="232"/>
      <c r="Q65" s="230"/>
      <c r="R65" s="230"/>
      <c r="S65" s="230"/>
      <c r="T65" s="230"/>
      <c r="U65" s="230"/>
      <c r="V65" s="230"/>
      <c r="W65" s="230"/>
      <c r="X65" s="230"/>
      <c r="Y65" s="269"/>
      <c r="AA65" s="153"/>
    </row>
    <row r="66" spans="1:34" ht="12.95" customHeight="1">
      <c r="A66" s="190"/>
      <c r="B66" s="265"/>
      <c r="C66" s="236"/>
      <c r="D66" s="274"/>
      <c r="E66" s="247" t="s">
        <v>104</v>
      </c>
      <c r="F66" s="145" t="s">
        <v>341</v>
      </c>
      <c r="G66" s="49">
        <v>21.52</v>
      </c>
      <c r="H66" s="117"/>
      <c r="I66" s="117"/>
      <c r="J66" s="232"/>
      <c r="K66" s="232"/>
      <c r="L66" s="232"/>
      <c r="M66" s="232"/>
      <c r="N66" s="232"/>
      <c r="O66" s="232"/>
      <c r="P66" s="232"/>
      <c r="Q66" s="228"/>
      <c r="R66" s="228"/>
      <c r="S66" s="228"/>
      <c r="T66" s="228"/>
      <c r="U66" s="228"/>
      <c r="V66" s="228"/>
      <c r="W66" s="228"/>
      <c r="X66" s="228"/>
      <c r="Y66" s="269"/>
      <c r="AA66" s="153"/>
    </row>
    <row r="67" spans="1:34" ht="12.95" customHeight="1">
      <c r="A67" s="190"/>
      <c r="B67" s="265"/>
      <c r="C67" s="236"/>
      <c r="D67" s="274"/>
      <c r="E67" s="244"/>
      <c r="F67" s="156" t="s">
        <v>342</v>
      </c>
      <c r="G67" s="156" t="s">
        <v>343</v>
      </c>
      <c r="H67" s="146"/>
      <c r="I67" s="146"/>
      <c r="J67" s="232"/>
      <c r="K67" s="232"/>
      <c r="L67" s="232"/>
      <c r="M67" s="232"/>
      <c r="N67" s="232"/>
      <c r="O67" s="232"/>
      <c r="P67" s="232"/>
      <c r="Q67" s="229"/>
      <c r="R67" s="229"/>
      <c r="S67" s="229"/>
      <c r="T67" s="229"/>
      <c r="U67" s="229"/>
      <c r="V67" s="229"/>
      <c r="W67" s="229"/>
      <c r="X67" s="229"/>
      <c r="Y67" s="269"/>
      <c r="AA67" s="153"/>
    </row>
    <row r="68" spans="1:34" ht="12.95" customHeight="1">
      <c r="A68" s="190"/>
      <c r="B68" s="265"/>
      <c r="C68" s="236"/>
      <c r="D68" s="274"/>
      <c r="E68" s="245"/>
      <c r="F68" s="147"/>
      <c r="G68" s="147"/>
      <c r="H68" s="147"/>
      <c r="I68" s="147"/>
      <c r="J68" s="232"/>
      <c r="K68" s="232"/>
      <c r="L68" s="232"/>
      <c r="M68" s="232"/>
      <c r="N68" s="232"/>
      <c r="O68" s="232"/>
      <c r="P68" s="232"/>
      <c r="Q68" s="230"/>
      <c r="R68" s="230"/>
      <c r="S68" s="230"/>
      <c r="T68" s="230"/>
      <c r="U68" s="230"/>
      <c r="V68" s="230"/>
      <c r="W68" s="230"/>
      <c r="X68" s="230"/>
      <c r="Y68" s="269"/>
      <c r="AA68" s="153"/>
    </row>
    <row r="69" spans="1:34" ht="12.95" customHeight="1">
      <c r="A69" s="190"/>
      <c r="B69" s="265"/>
      <c r="C69" s="236"/>
      <c r="D69" s="274"/>
      <c r="E69" s="267" t="s">
        <v>292</v>
      </c>
      <c r="F69" s="145" t="s">
        <v>412</v>
      </c>
      <c r="G69" s="49">
        <f>10*A60/1000</f>
        <v>2.69</v>
      </c>
      <c r="H69" s="53" t="s">
        <v>229</v>
      </c>
      <c r="I69" s="49">
        <f>ROUND(5*A60/1000,0)</f>
        <v>1</v>
      </c>
      <c r="J69" s="232"/>
      <c r="K69" s="232"/>
      <c r="L69" s="232"/>
      <c r="M69" s="232"/>
      <c r="N69" s="232"/>
      <c r="O69" s="232"/>
      <c r="P69" s="232"/>
      <c r="Q69" s="228"/>
      <c r="R69" s="228"/>
      <c r="S69" s="228"/>
      <c r="T69" s="228"/>
      <c r="U69" s="228"/>
      <c r="V69" s="228"/>
      <c r="W69" s="228"/>
      <c r="X69" s="228"/>
      <c r="Y69" s="269"/>
      <c r="AA69" s="153"/>
    </row>
    <row r="70" spans="1:34" ht="12.95" customHeight="1">
      <c r="A70" s="190"/>
      <c r="B70" s="265"/>
      <c r="C70" s="236"/>
      <c r="D70" s="274"/>
      <c r="E70" s="244"/>
      <c r="F70" s="146" t="s">
        <v>183</v>
      </c>
      <c r="G70" s="50">
        <f>28*A60/1000</f>
        <v>7.532</v>
      </c>
      <c r="H70" s="48"/>
      <c r="I70" s="56"/>
      <c r="J70" s="232"/>
      <c r="K70" s="232"/>
      <c r="L70" s="232"/>
      <c r="M70" s="232"/>
      <c r="N70" s="232"/>
      <c r="O70" s="232"/>
      <c r="P70" s="232"/>
      <c r="Q70" s="229"/>
      <c r="R70" s="229"/>
      <c r="S70" s="229"/>
      <c r="T70" s="229"/>
      <c r="U70" s="229"/>
      <c r="V70" s="229"/>
      <c r="W70" s="229"/>
      <c r="X70" s="229"/>
      <c r="Y70" s="269"/>
      <c r="AA70" s="153"/>
    </row>
    <row r="71" spans="1:34" ht="12.95" customHeight="1">
      <c r="A71" s="190"/>
      <c r="B71" s="266"/>
      <c r="C71" s="237"/>
      <c r="D71" s="275"/>
      <c r="E71" s="245"/>
      <c r="F71" s="147" t="s">
        <v>230</v>
      </c>
      <c r="G71" s="64">
        <f>ROUND(15*A60/1000,0)</f>
        <v>4</v>
      </c>
      <c r="H71" s="54"/>
      <c r="I71" s="54"/>
      <c r="J71" s="233"/>
      <c r="K71" s="233"/>
      <c r="L71" s="233"/>
      <c r="M71" s="233"/>
      <c r="N71" s="233"/>
      <c r="O71" s="233"/>
      <c r="P71" s="233"/>
      <c r="Q71" s="230"/>
      <c r="R71" s="230"/>
      <c r="S71" s="230"/>
      <c r="T71" s="230"/>
      <c r="U71" s="230"/>
      <c r="V71" s="230"/>
      <c r="W71" s="230"/>
      <c r="X71" s="230"/>
      <c r="Y71" s="270"/>
      <c r="AA71" s="153"/>
    </row>
    <row r="72" spans="1:34" s="68" customFormat="1" ht="12.95" customHeight="1">
      <c r="A72" s="191"/>
      <c r="B72" s="276" t="s">
        <v>122</v>
      </c>
      <c r="C72" s="277"/>
      <c r="D72" s="278"/>
      <c r="E72" s="279" t="s">
        <v>422</v>
      </c>
      <c r="F72" s="262"/>
      <c r="G72" s="262"/>
      <c r="H72" s="262"/>
      <c r="I72" s="262"/>
      <c r="J72" s="280"/>
      <c r="K72" s="280"/>
      <c r="L72" s="280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3"/>
      <c r="AA72" s="153"/>
      <c r="AB72" s="153"/>
      <c r="AC72" s="153"/>
      <c r="AD72" s="153"/>
      <c r="AE72" s="153"/>
      <c r="AF72" s="153"/>
      <c r="AG72" s="153"/>
      <c r="AH72" s="153"/>
    </row>
    <row r="73" spans="1:34" ht="12.95" customHeight="1">
      <c r="B73" s="281" t="s">
        <v>130</v>
      </c>
      <c r="C73" s="282"/>
      <c r="D73" s="282"/>
      <c r="E73" s="283"/>
      <c r="F73" s="290" t="s">
        <v>131</v>
      </c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2"/>
      <c r="AA73" s="153"/>
    </row>
    <row r="74" spans="1:34" ht="12.95" customHeight="1">
      <c r="B74" s="284"/>
      <c r="C74" s="285"/>
      <c r="D74" s="285"/>
      <c r="E74" s="286"/>
      <c r="F74" s="293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5"/>
      <c r="AA74" s="153"/>
    </row>
    <row r="75" spans="1:34" ht="12.95" customHeight="1">
      <c r="B75" s="284"/>
      <c r="C75" s="285"/>
      <c r="D75" s="285"/>
      <c r="E75" s="286"/>
      <c r="F75" s="293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5"/>
      <c r="AA75" s="153"/>
    </row>
    <row r="76" spans="1:34" ht="12.95" customHeight="1">
      <c r="B76" s="287"/>
      <c r="C76" s="288"/>
      <c r="D76" s="288"/>
      <c r="E76" s="289"/>
      <c r="F76" s="296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8"/>
      <c r="AA76" s="153"/>
    </row>
    <row r="77" spans="1:34" ht="14.45" customHeight="1">
      <c r="A77" s="153"/>
      <c r="B77" s="299" t="s">
        <v>132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AA77" s="153"/>
    </row>
    <row r="78" spans="1:34" ht="19.5" customHeight="1">
      <c r="B78" s="300" t="s">
        <v>133</v>
      </c>
      <c r="C78" s="300"/>
      <c r="D78" s="300"/>
      <c r="E78" s="300"/>
      <c r="H78" s="300" t="s">
        <v>38</v>
      </c>
      <c r="I78" s="300"/>
      <c r="J78" s="300"/>
      <c r="K78" s="67"/>
      <c r="L78" s="67"/>
      <c r="M78" s="67"/>
      <c r="N78" s="301"/>
      <c r="O78" s="301"/>
      <c r="P78" s="144"/>
      <c r="Q78" s="144"/>
      <c r="R78" s="144"/>
      <c r="S78" s="301" t="s">
        <v>134</v>
      </c>
      <c r="T78" s="301"/>
      <c r="U78" s="57"/>
      <c r="V78" s="57"/>
      <c r="W78" s="57"/>
      <c r="X78" s="57"/>
      <c r="Y78" s="57"/>
      <c r="AA78" s="107"/>
      <c r="AB78" s="114"/>
    </row>
    <row r="79" spans="1:34">
      <c r="AA79" s="153"/>
    </row>
    <row r="80" spans="1:34">
      <c r="AA80" s="153"/>
    </row>
    <row r="81" spans="27:27">
      <c r="AA81" s="153"/>
    </row>
  </sheetData>
  <protectedRanges>
    <protectedRange password="C60F" sqref="P77:S77" name="範圍1_1"/>
  </protectedRanges>
  <mergeCells count="285">
    <mergeCell ref="B72:D72"/>
    <mergeCell ref="E72:Y72"/>
    <mergeCell ref="B73:E76"/>
    <mergeCell ref="F73:Y76"/>
    <mergeCell ref="R69:R71"/>
    <mergeCell ref="S69:S71"/>
    <mergeCell ref="T69:T71"/>
    <mergeCell ref="U69:U71"/>
    <mergeCell ref="V69:V71"/>
    <mergeCell ref="W69:W71"/>
    <mergeCell ref="O60:O71"/>
    <mergeCell ref="P60:P71"/>
    <mergeCell ref="Q60:Q62"/>
    <mergeCell ref="Q69:Q71"/>
    <mergeCell ref="E63:E65"/>
    <mergeCell ref="S60:S62"/>
    <mergeCell ref="T60:T62"/>
    <mergeCell ref="U60:U62"/>
    <mergeCell ref="Q63:Q65"/>
    <mergeCell ref="R63:R65"/>
    <mergeCell ref="S63:S65"/>
    <mergeCell ref="B60:B71"/>
    <mergeCell ref="C60:C71"/>
    <mergeCell ref="E66:E68"/>
    <mergeCell ref="B77:Y77"/>
    <mergeCell ref="B78:E78"/>
    <mergeCell ref="H78:J78"/>
    <mergeCell ref="N78:O78"/>
    <mergeCell ref="S78:T78"/>
    <mergeCell ref="X69:X71"/>
    <mergeCell ref="V63:V65"/>
    <mergeCell ref="D60:D71"/>
    <mergeCell ref="E60:E62"/>
    <mergeCell ref="J60:J71"/>
    <mergeCell ref="K60:K71"/>
    <mergeCell ref="E69:E71"/>
    <mergeCell ref="V60:V62"/>
    <mergeCell ref="W60:W62"/>
    <mergeCell ref="L60:L71"/>
    <mergeCell ref="M60:M71"/>
    <mergeCell ref="N60:N71"/>
    <mergeCell ref="U66:U68"/>
    <mergeCell ref="V66:V68"/>
    <mergeCell ref="W66:W68"/>
    <mergeCell ref="X66:X68"/>
    <mergeCell ref="T63:T65"/>
    <mergeCell ref="U63:U65"/>
    <mergeCell ref="R60:R62"/>
    <mergeCell ref="Y60:Y71"/>
    <mergeCell ref="X63:X65"/>
    <mergeCell ref="E59:Y59"/>
    <mergeCell ref="W63:W65"/>
    <mergeCell ref="B59:D59"/>
    <mergeCell ref="B47:B58"/>
    <mergeCell ref="C47:C58"/>
    <mergeCell ref="D47:D58"/>
    <mergeCell ref="V50:V52"/>
    <mergeCell ref="W50:W52"/>
    <mergeCell ref="X50:X52"/>
    <mergeCell ref="W47:W49"/>
    <mergeCell ref="U53:U55"/>
    <mergeCell ref="V53:V55"/>
    <mergeCell ref="W53:W55"/>
    <mergeCell ref="X53:X55"/>
    <mergeCell ref="O47:O58"/>
    <mergeCell ref="P47:P58"/>
    <mergeCell ref="Q47:Q49"/>
    <mergeCell ref="E47:E49"/>
    <mergeCell ref="J47:J58"/>
    <mergeCell ref="E56:E58"/>
    <mergeCell ref="Q56:Q58"/>
    <mergeCell ref="R56:R58"/>
    <mergeCell ref="E53:E55"/>
    <mergeCell ref="Q53:Q55"/>
    <mergeCell ref="R53:R55"/>
    <mergeCell ref="S53:S55"/>
    <mergeCell ref="Q66:Q68"/>
    <mergeCell ref="R66:R68"/>
    <mergeCell ref="S66:S68"/>
    <mergeCell ref="T66:T68"/>
    <mergeCell ref="X60:X62"/>
    <mergeCell ref="S56:S58"/>
    <mergeCell ref="K47:K58"/>
    <mergeCell ref="V56:V58"/>
    <mergeCell ref="W56:W58"/>
    <mergeCell ref="U34:U36"/>
    <mergeCell ref="V34:V36"/>
    <mergeCell ref="W34:W36"/>
    <mergeCell ref="L34:L45"/>
    <mergeCell ref="X56:X58"/>
    <mergeCell ref="E40:E42"/>
    <mergeCell ref="X47:X49"/>
    <mergeCell ref="Y47:Y58"/>
    <mergeCell ref="E50:E52"/>
    <mergeCell ref="Q50:Q52"/>
    <mergeCell ref="R50:R52"/>
    <mergeCell ref="S50:S52"/>
    <mergeCell ref="T50:T52"/>
    <mergeCell ref="U50:U52"/>
    <mergeCell ref="R47:R49"/>
    <mergeCell ref="S47:S49"/>
    <mergeCell ref="T47:T49"/>
    <mergeCell ref="U47:U49"/>
    <mergeCell ref="V47:V49"/>
    <mergeCell ref="T56:T58"/>
    <mergeCell ref="U56:U58"/>
    <mergeCell ref="L47:L58"/>
    <mergeCell ref="M47:M58"/>
    <mergeCell ref="N47:N58"/>
    <mergeCell ref="U40:U42"/>
    <mergeCell ref="K34:K45"/>
    <mergeCell ref="V43:V45"/>
    <mergeCell ref="W43:W45"/>
    <mergeCell ref="T53:T55"/>
    <mergeCell ref="X34:X36"/>
    <mergeCell ref="B46:D46"/>
    <mergeCell ref="E46:Y46"/>
    <mergeCell ref="V40:V42"/>
    <mergeCell ref="W40:W42"/>
    <mergeCell ref="X40:X42"/>
    <mergeCell ref="E43:E45"/>
    <mergeCell ref="Q43:Q45"/>
    <mergeCell ref="R43:R45"/>
    <mergeCell ref="S43:S45"/>
    <mergeCell ref="T43:T45"/>
    <mergeCell ref="U43:U45"/>
    <mergeCell ref="B34:B45"/>
    <mergeCell ref="C34:C45"/>
    <mergeCell ref="D34:D45"/>
    <mergeCell ref="V37:V39"/>
    <mergeCell ref="W37:W39"/>
    <mergeCell ref="X37:X39"/>
    <mergeCell ref="T34:T36"/>
    <mergeCell ref="O34:O45"/>
    <mergeCell ref="P34:P45"/>
    <mergeCell ref="Q34:Q36"/>
    <mergeCell ref="E34:E36"/>
    <mergeCell ref="J34:J45"/>
    <mergeCell ref="Q40:Q42"/>
    <mergeCell ref="R40:R42"/>
    <mergeCell ref="S40:S42"/>
    <mergeCell ref="T40:T42"/>
    <mergeCell ref="X43:X45"/>
    <mergeCell ref="B33:D33"/>
    <mergeCell ref="E33:Y33"/>
    <mergeCell ref="U27:U29"/>
    <mergeCell ref="V27:V29"/>
    <mergeCell ref="W27:W29"/>
    <mergeCell ref="X27:X29"/>
    <mergeCell ref="E30:E32"/>
    <mergeCell ref="Q30:Q32"/>
    <mergeCell ref="R30:R32"/>
    <mergeCell ref="S30:S32"/>
    <mergeCell ref="T30:T32"/>
    <mergeCell ref="U30:U32"/>
    <mergeCell ref="M34:M45"/>
    <mergeCell ref="Y34:Y45"/>
    <mergeCell ref="E37:E39"/>
    <mergeCell ref="Q37:Q39"/>
    <mergeCell ref="R37:R39"/>
    <mergeCell ref="S37:S39"/>
    <mergeCell ref="T37:T39"/>
    <mergeCell ref="U37:U39"/>
    <mergeCell ref="R34:R36"/>
    <mergeCell ref="S34:S36"/>
    <mergeCell ref="N34:N45"/>
    <mergeCell ref="X24:X26"/>
    <mergeCell ref="E27:E29"/>
    <mergeCell ref="Q27:Q29"/>
    <mergeCell ref="R27:R29"/>
    <mergeCell ref="S27:S29"/>
    <mergeCell ref="T27:T29"/>
    <mergeCell ref="V30:V32"/>
    <mergeCell ref="W30:W32"/>
    <mergeCell ref="X30:X32"/>
    <mergeCell ref="T24:T26"/>
    <mergeCell ref="U24:U26"/>
    <mergeCell ref="R24:R26"/>
    <mergeCell ref="S24:S26"/>
    <mergeCell ref="R21:R23"/>
    <mergeCell ref="S21:S23"/>
    <mergeCell ref="T21:T23"/>
    <mergeCell ref="U21:U23"/>
    <mergeCell ref="V21:V23"/>
    <mergeCell ref="W21:W23"/>
    <mergeCell ref="L21:L32"/>
    <mergeCell ref="M21:M32"/>
    <mergeCell ref="N21:N32"/>
    <mergeCell ref="O21:O32"/>
    <mergeCell ref="P21:P32"/>
    <mergeCell ref="Q21:Q23"/>
    <mergeCell ref="V24:V26"/>
    <mergeCell ref="W24:W26"/>
    <mergeCell ref="S14:S16"/>
    <mergeCell ref="T14:T16"/>
    <mergeCell ref="U14:U16"/>
    <mergeCell ref="V14:V16"/>
    <mergeCell ref="W14:W16"/>
    <mergeCell ref="X14:X16"/>
    <mergeCell ref="B20:D20"/>
    <mergeCell ref="E20:Y20"/>
    <mergeCell ref="B21:B32"/>
    <mergeCell ref="C21:C32"/>
    <mergeCell ref="D21:D32"/>
    <mergeCell ref="E21:E23"/>
    <mergeCell ref="J21:J32"/>
    <mergeCell ref="K21:K32"/>
    <mergeCell ref="E17:E19"/>
    <mergeCell ref="Q17:Q19"/>
    <mergeCell ref="R17:R19"/>
    <mergeCell ref="S17:S19"/>
    <mergeCell ref="T17:T19"/>
    <mergeCell ref="U17:U19"/>
    <mergeCell ref="X21:X23"/>
    <mergeCell ref="Y21:Y32"/>
    <mergeCell ref="E24:E26"/>
    <mergeCell ref="Q24:Q26"/>
    <mergeCell ref="U8:U10"/>
    <mergeCell ref="V8:V10"/>
    <mergeCell ref="W8:W10"/>
    <mergeCell ref="X8:X10"/>
    <mergeCell ref="Y8:Y19"/>
    <mergeCell ref="V17:V19"/>
    <mergeCell ref="W17:W19"/>
    <mergeCell ref="X17:X19"/>
    <mergeCell ref="O8:O19"/>
    <mergeCell ref="P8:P19"/>
    <mergeCell ref="Q8:Q10"/>
    <mergeCell ref="R8:R10"/>
    <mergeCell ref="S8:S10"/>
    <mergeCell ref="T8:T10"/>
    <mergeCell ref="Q11:Q13"/>
    <mergeCell ref="R11:R13"/>
    <mergeCell ref="S11:S13"/>
    <mergeCell ref="T11:T13"/>
    <mergeCell ref="U11:U13"/>
    <mergeCell ref="V11:V13"/>
    <mergeCell ref="W11:W13"/>
    <mergeCell ref="X11:X13"/>
    <mergeCell ref="Q14:Q16"/>
    <mergeCell ref="R14:R16"/>
    <mergeCell ref="B8:B19"/>
    <mergeCell ref="C8:C19"/>
    <mergeCell ref="D8:D19"/>
    <mergeCell ref="E8:E10"/>
    <mergeCell ref="J8:J19"/>
    <mergeCell ref="K8:K19"/>
    <mergeCell ref="L8:L19"/>
    <mergeCell ref="M8:M19"/>
    <mergeCell ref="N8:N19"/>
    <mergeCell ref="E11:E13"/>
    <mergeCell ref="E14:E16"/>
    <mergeCell ref="Y3:Y7"/>
    <mergeCell ref="E4:E7"/>
    <mergeCell ref="F4:F7"/>
    <mergeCell ref="G4:G7"/>
    <mergeCell ref="H4:H7"/>
    <mergeCell ref="I4:I7"/>
    <mergeCell ref="J4:P4"/>
    <mergeCell ref="Q4:Q7"/>
    <mergeCell ref="R4:R7"/>
    <mergeCell ref="P5:P7"/>
    <mergeCell ref="J5:J7"/>
    <mergeCell ref="K5:K7"/>
    <mergeCell ref="L5:L7"/>
    <mergeCell ref="M5:M7"/>
    <mergeCell ref="N5:N7"/>
    <mergeCell ref="O5:O7"/>
    <mergeCell ref="P1:V1"/>
    <mergeCell ref="E2:G2"/>
    <mergeCell ref="H2:O2"/>
    <mergeCell ref="P2:U2"/>
    <mergeCell ref="V2:X2"/>
    <mergeCell ref="B3:B7"/>
    <mergeCell ref="C3:C7"/>
    <mergeCell ref="D3:D7"/>
    <mergeCell ref="E3:P3"/>
    <mergeCell ref="Q3:S3"/>
    <mergeCell ref="U4:U6"/>
    <mergeCell ref="V4:V6"/>
    <mergeCell ref="W4:W6"/>
    <mergeCell ref="X4:X6"/>
    <mergeCell ref="T3:X3"/>
    <mergeCell ref="S4:S7"/>
    <mergeCell ref="T4:T6"/>
  </mergeCells>
  <phoneticPr fontId="3" type="noConversion"/>
  <pageMargins left="0.59055118110236227" right="0.39370078740157483" top="0.19685039370078741" bottom="0" header="0" footer="0"/>
  <pageSetup paperSize="8" scale="12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5</vt:i4>
      </vt:variant>
    </vt:vector>
  </HeadingPairs>
  <TitlesOfParts>
    <vt:vector size="11" baseType="lpstr">
      <vt:lpstr>第15週</vt:lpstr>
      <vt:lpstr>第16週</vt:lpstr>
      <vt:lpstr>熱量計算</vt:lpstr>
      <vt:lpstr>第17週</vt:lpstr>
      <vt:lpstr>第18週</vt:lpstr>
      <vt:lpstr>第19週</vt:lpstr>
      <vt:lpstr>第15週!Print_Area</vt:lpstr>
      <vt:lpstr>第16週!Print_Area</vt:lpstr>
      <vt:lpstr>第17週!Print_Area</vt:lpstr>
      <vt:lpstr>第18週!Print_Area</vt:lpstr>
      <vt:lpstr>第19週!Print_Area</vt:lpstr>
    </vt:vector>
  </TitlesOfParts>
  <Company>ls1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ls1</dc:creator>
  <cp:lastModifiedBy>user</cp:lastModifiedBy>
  <cp:lastPrinted>2019-11-20T01:57:02Z</cp:lastPrinted>
  <dcterms:created xsi:type="dcterms:W3CDTF">2003-11-12T02:37:56Z</dcterms:created>
  <dcterms:modified xsi:type="dcterms:W3CDTF">2019-11-20T02:47:27Z</dcterms:modified>
</cp:coreProperties>
</file>